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ormelm Tour1 und Tour2" sheetId="1" r:id="rId1"/>
    <sheet name="Tour1" sheetId="2" r:id="rId2"/>
    <sheet name="Tour2" sheetId="3" r:id="rId3"/>
  </sheets>
  <definedNames>
    <definedName name="_xlnm.Print_Area" localSheetId="1">'Tour1'!$A$1:$W$42</definedName>
    <definedName name="_xlnm.Print_Area" localSheetId="2">'Tour2'!$A$1:$V$42</definedName>
  </definedNames>
  <calcPr fullCalcOnLoad="1"/>
</workbook>
</file>

<file path=xl/sharedStrings.xml><?xml version="1.0" encoding="utf-8"?>
<sst xmlns="http://schemas.openxmlformats.org/spreadsheetml/2006/main" count="325" uniqueCount="195">
  <si>
    <t>Landstraße</t>
  </si>
  <si>
    <t>Kunde</t>
  </si>
  <si>
    <t>BAB-Nr.</t>
  </si>
  <si>
    <t>Strecke von bis</t>
  </si>
  <si>
    <t>Fahrzeit</t>
  </si>
  <si>
    <t>Lade-Zeit</t>
  </si>
  <si>
    <t>Abfahrt</t>
  </si>
  <si>
    <t>Ankunft</t>
  </si>
  <si>
    <t>[min]</t>
  </si>
  <si>
    <t>Gesamtentfernung [km]:</t>
  </si>
  <si>
    <t>Gesamtlenkzeit [min]:</t>
  </si>
  <si>
    <t>Gesamtlenkzeit [h:min]:</t>
  </si>
  <si>
    <t>.</t>
  </si>
  <si>
    <t>Autobahn</t>
  </si>
  <si>
    <t>[ km ]</t>
  </si>
  <si>
    <t>Palette:</t>
  </si>
  <si>
    <t>Autobahn:</t>
  </si>
  <si>
    <t>Landstraße:</t>
  </si>
  <si>
    <t>Lenk-
zeit</t>
  </si>
  <si>
    <r>
      <t xml:space="preserve">Geschwindigkeit </t>
    </r>
    <r>
      <rPr>
        <b/>
        <sz val="11"/>
        <color indexed="8"/>
        <rFont val="Calibri"/>
        <family val="2"/>
      </rPr>
      <t xml:space="preserve">Ø </t>
    </r>
    <r>
      <rPr>
        <b/>
        <sz val="11"/>
        <color indexed="8"/>
        <rFont val="Calibri"/>
        <family val="2"/>
      </rPr>
      <t>[km/h]:</t>
    </r>
  </si>
  <si>
    <t>Ausbleibezeit [h:min]:</t>
  </si>
  <si>
    <t>Paletten</t>
  </si>
  <si>
    <t>EUR 1</t>
  </si>
  <si>
    <t>EUR 6</t>
  </si>
  <si>
    <t>Datum</t>
  </si>
  <si>
    <t>Uhrzeit</t>
  </si>
  <si>
    <t>Abfahrt:</t>
  </si>
  <si>
    <t>Rückkehr:</t>
  </si>
  <si>
    <t>Wochen-
Tag</t>
  </si>
  <si>
    <t>https://www.viamichelin.de/</t>
  </si>
  <si>
    <t>Anmerkungen</t>
  </si>
  <si>
    <t>Routenplaner:</t>
  </si>
  <si>
    <t>Kostenberechnung</t>
  </si>
  <si>
    <t>[€]</t>
  </si>
  <si>
    <t>Tage</t>
  </si>
  <si>
    <t>Strecke</t>
  </si>
  <si>
    <t>Kosten</t>
  </si>
  <si>
    <t>Tagessatz Zugmaschine</t>
  </si>
  <si>
    <t>Tagessatz Sattelauflieger</t>
  </si>
  <si>
    <t>Kilometersatz</t>
  </si>
  <si>
    <t>Selbstkosten</t>
  </si>
  <si>
    <t>Gesamtkosten</t>
  </si>
  <si>
    <t>LZU [min]</t>
  </si>
  <si>
    <t>Ruhe [h]</t>
  </si>
  <si>
    <t>Maut je Kilometer</t>
  </si>
  <si>
    <t>Gewinnzuschlag [ % ]</t>
  </si>
  <si>
    <t>Mautpflichtige Strecke [ % ]</t>
  </si>
  <si>
    <t>oder Kunde:</t>
  </si>
  <si>
    <t>Ladezeit in Minuten je</t>
  </si>
  <si>
    <t>Palett. abhol.</t>
  </si>
  <si>
    <t>Palett. liefern</t>
  </si>
  <si>
    <t>Palett.</t>
  </si>
  <si>
    <t>Saldo</t>
  </si>
  <si>
    <t>gelieferte</t>
  </si>
  <si>
    <t>abgeholte</t>
  </si>
  <si>
    <t>Anzahl</t>
  </si>
  <si>
    <t>max. EUR1
Stellplätze</t>
  </si>
  <si>
    <t xml:space="preserve"> Geschwindigkeiten je</t>
  </si>
  <si>
    <t>Minder-
ladung</t>
  </si>
  <si>
    <t>mögl.</t>
  </si>
  <si>
    <t>Zelle</t>
  </si>
  <si>
    <t>Formeln</t>
  </si>
  <si>
    <t>B9</t>
  </si>
  <si>
    <t>=B7+1</t>
  </si>
  <si>
    <t>Spalte B</t>
  </si>
  <si>
    <t>D3</t>
  </si>
  <si>
    <t>=MAX(U7:U26)</t>
  </si>
  <si>
    <t>è</t>
  </si>
  <si>
    <t>D9</t>
  </si>
  <si>
    <t>=WENN(ISTLEER(E9);"";E7)</t>
  </si>
  <si>
    <t>Wenn ein neuer Kunde in E9 eingetragen wurde, wird der letzte Kunde als Start übernommen</t>
  </si>
  <si>
    <t>Rückkehrdatum</t>
  </si>
  <si>
    <t>von B7 bis B26 immer 2 Zellen verbunden (B7-B8, B9-B10, …)</t>
  </si>
  <si>
    <t>nach unten kopiert, bis Zelle B25</t>
  </si>
  <si>
    <t>=HEUTE()+8-WOCHENTAG(HEUTE();2)</t>
  </si>
  <si>
    <t>D2</t>
  </si>
  <si>
    <t>fiktives Planungstag ist der nächste Montag</t>
  </si>
  <si>
    <t>=WENN(ISTLEER(E9);"Tourende"; "Lade-/Lenk-/Ruhezeitunterbrechg.")</t>
  </si>
  <si>
    <t>E8</t>
  </si>
  <si>
    <t>Wenn E9 leer ist, dann ist das Tourende erreicht</t>
  </si>
  <si>
    <t>=SUMME(F7:G26)</t>
  </si>
  <si>
    <t>E28</t>
  </si>
  <si>
    <t>E29</t>
  </si>
  <si>
    <t>E30</t>
  </si>
  <si>
    <t>=SUMME(H7:H26)</t>
  </si>
  <si>
    <t>=E29/60/24</t>
  </si>
  <si>
    <t>Summe aller Fahrzeiten in Minuten</t>
  </si>
  <si>
    <t>Entfernungssumme Autobahn und Landstraße in Kilometer</t>
  </si>
  <si>
    <t>Summe aller Fahrzeiten im Excel-Format hh:mm</t>
  </si>
  <si>
    <t>=WENN(E29=0;0;E28/E29*60)</t>
  </si>
  <si>
    <t>E31</t>
  </si>
  <si>
    <t>Wenn Fahrzeit &gt; 0, dann berechnet sich die Durchschnittsgeschwindigkeit V = s : t [km/h]</t>
  </si>
  <si>
    <t>E32</t>
  </si>
  <si>
    <t>=MAX(U7:U26)-T7</t>
  </si>
  <si>
    <t>Endzeit - Anfangszeit</t>
  </si>
  <si>
    <t>F35</t>
  </si>
  <si>
    <t>=WENN(ISTLEER(E7);0;GANZZAHL(D3)-GANZZAHL(D2)+1)</t>
  </si>
  <si>
    <t>Ankunftstag - Abfahrtstag + 1</t>
  </si>
  <si>
    <t>F36</t>
  </si>
  <si>
    <t>=F35</t>
  </si>
  <si>
    <t>F2</t>
  </si>
  <si>
    <t>=D2</t>
  </si>
  <si>
    <t>Abfahrtstag im benutzerdef. Format TTT</t>
  </si>
  <si>
    <t>F3</t>
  </si>
  <si>
    <t>=D3</t>
  </si>
  <si>
    <t>Ankunftstag im benutzerdef. Format TTT</t>
  </si>
  <si>
    <t>G3</t>
  </si>
  <si>
    <t>=WENN(ODER(MIN(M7:M26)&lt;0;MAX(M7:M26)&gt;G2);"FEHLER";"Plätze evtl. frei")</t>
  </si>
  <si>
    <t>Wenn M7 bis M26 kleiner als Null oder M7 bis M26 größer als G2,</t>
  </si>
  <si>
    <t>dann wird FEHLER angezeigt, sonst sind Plätze frei</t>
  </si>
  <si>
    <t>=E28</t>
  </si>
  <si>
    <t>G37</t>
  </si>
  <si>
    <t>G38</t>
  </si>
  <si>
    <t>G39</t>
  </si>
  <si>
    <t>=RUNDEN(G38*E39/100;0)</t>
  </si>
  <si>
    <t>Berechnung der mautpflichtigen Strecke mit einem Prozentsatz aus E39</t>
  </si>
  <si>
    <t>H7</t>
  </si>
  <si>
    <t>=AUFRUNDEN((F7/$M$2+G7/$M$3)*60;0)</t>
  </si>
  <si>
    <r>
      <t xml:space="preserve">Berechnung der Fahrzeit in Minuten mit der Formel t = s : V  </t>
    </r>
    <r>
      <rPr>
        <sz val="11"/>
        <color indexed="8"/>
        <rFont val="Wingdings"/>
        <family val="0"/>
      </rPr>
      <t>è</t>
    </r>
    <r>
      <rPr>
        <sz val="11"/>
        <color indexed="8"/>
        <rFont val="Calibri"/>
        <family val="2"/>
      </rPr>
      <t xml:space="preserve">  Umrechnung in Minuten</t>
    </r>
  </si>
  <si>
    <t>H35</t>
  </si>
  <si>
    <t>=E35*F35</t>
  </si>
  <si>
    <t>Formel wird kopiert nach D11, D13, …</t>
  </si>
  <si>
    <t>Formel wird kopiert nach E10, E12, …</t>
  </si>
  <si>
    <t>Formel wird kopiert nach H9, H11, …</t>
  </si>
  <si>
    <r>
      <t xml:space="preserve">Kosten pro Tag berechnen  </t>
    </r>
    <r>
      <rPr>
        <sz val="11"/>
        <color indexed="8"/>
        <rFont val="Wingdings"/>
        <family val="0"/>
      </rPr>
      <t>è</t>
    </r>
    <r>
      <rPr>
        <sz val="11"/>
        <color indexed="8"/>
        <rFont val="Calibri"/>
        <family val="2"/>
      </rPr>
      <t xml:space="preserve"> Formale kopiert nach H36</t>
    </r>
  </si>
  <si>
    <t>H37</t>
  </si>
  <si>
    <t>=E37*G37</t>
  </si>
  <si>
    <t>H39</t>
  </si>
  <si>
    <t>=E38*G39</t>
  </si>
  <si>
    <t>Kosten pro Strecke berechnen</t>
  </si>
  <si>
    <t>Mautkosten pro mautpflichtiger Strecke berechnen</t>
  </si>
  <si>
    <t>H40</t>
  </si>
  <si>
    <t>=SUMME(H35:H39)</t>
  </si>
  <si>
    <t>Kostensumme (Selbstkosten) berechnen</t>
  </si>
  <si>
    <t>H41</t>
  </si>
  <si>
    <t>=RUNDEN((H40*E41)/100;2)</t>
  </si>
  <si>
    <t>Gewinnzuschlag in Euro berechnen; auf 2 Dezimalstellen gerundet</t>
  </si>
  <si>
    <t>H42</t>
  </si>
  <si>
    <t>=H40+H41</t>
  </si>
  <si>
    <t>Gesamtkosten berechnen; Selbstkosten + Gewinnzuschlag</t>
  </si>
  <si>
    <t>I31</t>
  </si>
  <si>
    <t>=SUMME(I7:I26)</t>
  </si>
  <si>
    <t>K31</t>
  </si>
  <si>
    <t>=SUMME(K7:K26)</t>
  </si>
  <si>
    <r>
      <t xml:space="preserve">Summe aller auszuliefernden EUR1- und EUR6- Paletten  </t>
    </r>
    <r>
      <rPr>
        <sz val="11"/>
        <color indexed="8"/>
        <rFont val="Wingdings"/>
        <family val="0"/>
      </rPr>
      <t>è</t>
    </r>
    <r>
      <rPr>
        <sz val="11"/>
        <color indexed="8"/>
        <rFont val="Calibri"/>
        <family val="2"/>
      </rPr>
      <t xml:space="preserve">  kopiert nach J31</t>
    </r>
  </si>
  <si>
    <r>
      <t xml:space="preserve">Summe aller abzuholenden EUR1- und EUR6- Paletten  </t>
    </r>
    <r>
      <rPr>
        <sz val="11"/>
        <color indexed="8"/>
        <rFont val="Wingdings"/>
        <family val="0"/>
      </rPr>
      <t>è</t>
    </r>
    <r>
      <rPr>
        <sz val="11"/>
        <color indexed="8"/>
        <rFont val="Calibri"/>
        <family val="2"/>
      </rPr>
      <t xml:space="preserve">  kopiert nach L32</t>
    </r>
  </si>
  <si>
    <t>M7</t>
  </si>
  <si>
    <t>=WENN(H7=0;"";G2-H2-I7-J7/2+K7+L7/2)</t>
  </si>
  <si>
    <t>Berechnung der Palettenstellplätze (EUR1-Größe), die bei Abfahrt vom Kunden geladen sind</t>
  </si>
  <si>
    <t>M9</t>
  </si>
  <si>
    <t>=WENN(H9=0;"";M7-I9-J9/2+K9+L9/2)</t>
  </si>
  <si>
    <r>
      <t xml:space="preserve">dto.  </t>
    </r>
    <r>
      <rPr>
        <sz val="11"/>
        <color indexed="8"/>
        <rFont val="Wingdings"/>
        <family val="0"/>
      </rPr>
      <t>è</t>
    </r>
    <r>
      <rPr>
        <sz val="11"/>
        <color theme="1"/>
        <rFont val="Calibri"/>
        <family val="2"/>
      </rPr>
      <t xml:space="preserve">  Formel wird kopiert nach M11, M13, …</t>
    </r>
  </si>
  <si>
    <t>N7</t>
  </si>
  <si>
    <t>=WENN(H7=0;0;WENN(ISTLEER($P$2);$P$3;SUMME(I7:L7)*$P$2))</t>
  </si>
  <si>
    <t>Wenn eine Ladezeit pro Palette angegeben ist, wird die Anzahl der Pa-</t>
  </si>
  <si>
    <t>letten mit dieser Zeit multipliziert; anderenfalls wird die Ladezeit je</t>
  </si>
  <si>
    <t>Kunde zugrunde gelegt; Formel wird kopiert nach N9, N11, …</t>
  </si>
  <si>
    <t>T7</t>
  </si>
  <si>
    <t>=D2+E2</t>
  </si>
  <si>
    <t>Datum plus Abfahrtzeit ab Lager</t>
  </si>
  <si>
    <t>T9</t>
  </si>
  <si>
    <t>=WENN(H9=0;0;U7+(N7+Q8+S8*60)/60/24-WENN(S8&gt;0;N7/60/24;0))</t>
  </si>
  <si>
    <t>die Abfahrt beim Kunden berechnet sich aus der Ladezeit plus eventu-</t>
  </si>
  <si>
    <t>eller LZU und Ruhezeiten beim Kunden</t>
  </si>
  <si>
    <t>Formel wird kopiert nach T11, T13, …</t>
  </si>
  <si>
    <t>T8</t>
  </si>
  <si>
    <t>=T7</t>
  </si>
  <si>
    <t>Formel wird kopiert nach T10, T12, …</t>
  </si>
  <si>
    <t>U7</t>
  </si>
  <si>
    <t>=T7+(H7+P7+R7*60)/60/24</t>
  </si>
  <si>
    <t>die Ankunftszeit beim Kunden berechnet sich aus der Fahrzeit plus der LZU und Ruhezeit auf der Strecke</t>
  </si>
  <si>
    <t>Formel wird kopiert nach U9, U11, …</t>
  </si>
  <si>
    <t>U8</t>
  </si>
  <si>
    <t>=U7</t>
  </si>
  <si>
    <t>es ist der gleiche Wert, wie die Uhrzeit in der Zelle zuvor; nur ist das Format gleich TT.MM.</t>
  </si>
  <si>
    <t>Formel wird kopiert nach U10, U12, …</t>
  </si>
  <si>
    <t>W7</t>
  </si>
  <si>
    <t>=H7</t>
  </si>
  <si>
    <t>die Lenkzeit entspricht der Fahrzeit</t>
  </si>
  <si>
    <t>W9</t>
  </si>
  <si>
    <t>=WENN(H9=0;0;WENN(ODER(R7&gt;0;S8&gt;0);H9;H9+W7))</t>
  </si>
  <si>
    <t>Wenn eine Ruhezeit eingelegt wurde, beginnt die Lenkzeitberechnung</t>
  </si>
  <si>
    <t>neu; anderenfalls wird die Fahrzeit zur vorherigen Lenkzeit addiert</t>
  </si>
  <si>
    <t>Formel wird kopiert nach W11, W13, …</t>
  </si>
  <si>
    <t>Die Formeln des Arbeitsblattes "Tour 2" entsprechen dem Arbeitsblatt "Tour 1". Der einzige Unterschied ist der, dass die 2. Tagestour mit dem gleichen Fahrzeug</t>
  </si>
  <si>
    <t>und dem gleichen Fahrer fortgesetzt wird. D.h., die Abfahrzeit ab Lager wird aufgrund der Ankunftszeit am Ende der Tour 1 plus Ladezeit und "LZU" berechnet.</t>
  </si>
  <si>
    <t>Die hier genannte "LZU" ist allerdings ein Wert, den der Fahrer braucht, um Papiere zu prüfen und weitere Aufgaben am Lager zu erledigen.</t>
  </si>
  <si>
    <t>=MAX(Tour1!V7:V26)</t>
  </si>
  <si>
    <t>E2</t>
  </si>
  <si>
    <t>Wert aus D2, nur mit dem Format hh:mm</t>
  </si>
  <si>
    <t>=E2</t>
  </si>
  <si>
    <t>Wert aus D2 bzw. E2, nur mit dem Format hh:mm</t>
  </si>
  <si>
    <r>
      <t>Formeln und Hinweise zur Tourenplanung</t>
    </r>
    <r>
      <rPr>
        <sz val="12"/>
        <color indexed="8"/>
        <rFont val="Calibri"/>
        <family val="2"/>
      </rPr>
      <t xml:space="preserve"> - (Tour 2)</t>
    </r>
  </si>
  <si>
    <t>es wird die letzte Ankunftszeit der Tour1 + Ent- und Beladezeit + "LZU"-Wert gesucht und hier übernommen</t>
  </si>
  <si>
    <r>
      <t xml:space="preserve">Möchten Sie mehr über einzelne Formeln wissen (über das WIE und WARUM), dann wenden Sie sich bitte an  </t>
    </r>
    <r>
      <rPr>
        <b/>
        <sz val="11"/>
        <color indexed="12"/>
        <rFont val="Calibri"/>
        <family val="2"/>
      </rPr>
      <t>u.wegewitz [at] web.de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</si>
</sst>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km/h&quot;"/>
    <numFmt numFmtId="165" formatCode="0.0&quot; min&quot;"/>
    <numFmt numFmtId="166" formatCode="0.0"/>
    <numFmt numFmtId="167" formatCode="h:mm;@"/>
    <numFmt numFmtId="168" formatCode="ddd"/>
    <numFmt numFmtId="169" formatCode="d/\ mmm/\ yyyy"/>
    <numFmt numFmtId="170" formatCode="h:mm"/>
    <numFmt numFmtId="171" formatCode="0.0&quot; frei&quot;"/>
    <numFmt numFmtId="172" formatCode="dd/mm/"/>
    <numFmt numFmtId="173" formatCode="d/m/yy\ h:mm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12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Calibri"/>
      <family val="2"/>
    </font>
    <font>
      <u val="single"/>
      <sz val="14"/>
      <color indexed="3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u val="single"/>
      <sz val="12"/>
      <color indexed="30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Wingdings"/>
      <family val="0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1"/>
      <color theme="1"/>
      <name val="Wingdings"/>
      <family val="0"/>
    </font>
    <font>
      <u val="single"/>
      <sz val="14"/>
      <color theme="1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ck">
        <color rgb="FF0000CC"/>
      </bottom>
    </border>
    <border>
      <left style="thin"/>
      <right style="medium"/>
      <top/>
      <bottom style="thick">
        <color rgb="FF0000CC"/>
      </bottom>
    </border>
    <border>
      <left style="medium"/>
      <right/>
      <top style="thin"/>
      <bottom style="thick">
        <color rgb="FF0000CC"/>
      </bottom>
    </border>
    <border>
      <left/>
      <right style="medium"/>
      <top style="thin"/>
      <bottom style="thick">
        <color rgb="FF0000CC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ck">
        <color rgb="FF0000CC"/>
      </bottom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ck">
        <color rgb="FF0000CC"/>
      </bottom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ck">
        <color rgb="FF0000CC"/>
      </bottom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 style="thick">
        <color rgb="FF0000CC"/>
      </top>
      <bottom style="thin"/>
    </border>
    <border>
      <left/>
      <right/>
      <top/>
      <bottom style="thick">
        <color rgb="FF0000CC"/>
      </bottom>
    </border>
    <border>
      <left/>
      <right style="thin"/>
      <top/>
      <bottom style="thin"/>
    </border>
    <border>
      <left/>
      <right style="thin"/>
      <top/>
      <bottom style="thick">
        <color rgb="FF0000CC"/>
      </bottom>
    </border>
    <border>
      <left style="thin"/>
      <right style="thin"/>
      <top style="thin"/>
      <bottom style="thick">
        <color rgb="FF0000CC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ck">
        <color rgb="FF0000CC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ck">
        <color rgb="FF0000CC"/>
      </bottom>
    </border>
    <border>
      <left style="thin"/>
      <right/>
      <top/>
      <bottom style="thick">
        <color rgb="FF0000CC"/>
      </bottom>
    </border>
    <border>
      <left/>
      <right/>
      <top style="medium"/>
      <bottom/>
    </border>
    <border>
      <left/>
      <right style="medium"/>
      <top style="thick">
        <color rgb="FF0000CC"/>
      </top>
      <bottom style="thin"/>
    </border>
    <border>
      <left style="thin"/>
      <right style="medium"/>
      <top style="thick">
        <color rgb="FF0000CC"/>
      </top>
      <bottom style="thin"/>
    </border>
    <border>
      <left style="medium"/>
      <right style="medium"/>
      <top style="thick">
        <color rgb="FF0000CC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ck">
        <color rgb="FF0000CC"/>
      </bottom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 style="dotted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>
        <color rgb="FF0000CC"/>
      </bottom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ck">
        <color rgb="FF0000CC"/>
      </top>
      <bottom/>
    </border>
    <border>
      <left style="medium"/>
      <right/>
      <top style="thick">
        <color rgb="FF0000CC"/>
      </top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54">
    <xf numFmtId="0" fontId="0" fillId="0" borderId="0" xfId="0" applyFont="1" applyAlignment="1">
      <alignment/>
    </xf>
    <xf numFmtId="0" fontId="0" fillId="0" borderId="0" xfId="50" applyNumberFormat="1" applyFont="1" applyAlignment="1">
      <alignment horizontal="left"/>
    </xf>
    <xf numFmtId="0" fontId="45" fillId="0" borderId="0" xfId="5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50" applyNumberFormat="1" applyFont="1" applyAlignment="1">
      <alignment horizontal="center"/>
    </xf>
    <xf numFmtId="0" fontId="0" fillId="0" borderId="0" xfId="0" applyNumberFormat="1" applyAlignment="1">
      <alignment/>
    </xf>
    <xf numFmtId="0" fontId="58" fillId="33" borderId="10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33" borderId="12" xfId="0" applyNumberFormat="1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 quotePrefix="1">
      <alignment horizontal="center" vertical="center" wrapText="1"/>
    </xf>
    <xf numFmtId="0" fontId="58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166" fontId="45" fillId="0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left"/>
    </xf>
    <xf numFmtId="0" fontId="59" fillId="33" borderId="15" xfId="0" applyNumberFormat="1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left"/>
    </xf>
    <xf numFmtId="0" fontId="59" fillId="33" borderId="17" xfId="0" applyNumberFormat="1" applyFont="1" applyFill="1" applyBorder="1" applyAlignment="1">
      <alignment horizontal="right"/>
    </xf>
    <xf numFmtId="0" fontId="0" fillId="33" borderId="15" xfId="50" applyNumberFormat="1" applyFont="1" applyFill="1" applyBorder="1" applyAlignment="1">
      <alignment horizontal="center"/>
    </xf>
    <xf numFmtId="0" fontId="0" fillId="33" borderId="17" xfId="5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60" fillId="0" borderId="0" xfId="0" applyNumberFormat="1" applyFont="1" applyAlignment="1">
      <alignment/>
    </xf>
    <xf numFmtId="0" fontId="0" fillId="0" borderId="0" xfId="0" applyFill="1" applyBorder="1" applyAlignment="1" quotePrefix="1">
      <alignment/>
    </xf>
    <xf numFmtId="0" fontId="0" fillId="0" borderId="24" xfId="50" applyNumberFormat="1" applyFont="1" applyBorder="1" applyAlignment="1" applyProtection="1">
      <alignment horizontal="center"/>
      <protection locked="0"/>
    </xf>
    <xf numFmtId="0" fontId="0" fillId="0" borderId="24" xfId="5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0" fontId="0" fillId="0" borderId="25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6" xfId="0" applyNumberFormat="1" applyFont="1" applyBorder="1" applyAlignment="1" applyProtection="1">
      <alignment horizontal="center"/>
      <protection locked="0"/>
    </xf>
    <xf numFmtId="0" fontId="0" fillId="33" borderId="25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1" fillId="33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5" fillId="33" borderId="24" xfId="0" applyNumberFormat="1" applyFont="1" applyFill="1" applyBorder="1" applyAlignment="1" applyProtection="1">
      <alignment horizontal="center"/>
      <protection/>
    </xf>
    <xf numFmtId="20" fontId="0" fillId="33" borderId="21" xfId="0" applyNumberFormat="1" applyFont="1" applyFill="1" applyBorder="1" applyAlignment="1" applyProtection="1">
      <alignment horizontal="center"/>
      <protection/>
    </xf>
    <xf numFmtId="20" fontId="8" fillId="33" borderId="25" xfId="0" applyNumberFormat="1" applyFont="1" applyFill="1" applyBorder="1" applyAlignment="1" applyProtection="1">
      <alignment horizontal="center"/>
      <protection/>
    </xf>
    <xf numFmtId="0" fontId="45" fillId="33" borderId="27" xfId="0" applyNumberFormat="1" applyFont="1" applyFill="1" applyBorder="1" applyAlignment="1" applyProtection="1">
      <alignment horizontal="center"/>
      <protection/>
    </xf>
    <xf numFmtId="0" fontId="45" fillId="33" borderId="28" xfId="0" applyFont="1" applyFill="1" applyBorder="1" applyAlignment="1">
      <alignment vertical="center"/>
    </xf>
    <xf numFmtId="0" fontId="45" fillId="33" borderId="29" xfId="0" applyFont="1" applyFill="1" applyBorder="1" applyAlignment="1">
      <alignment vertical="center"/>
    </xf>
    <xf numFmtId="0" fontId="61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5" fillId="33" borderId="30" xfId="0" applyNumberFormat="1" applyFont="1" applyFill="1" applyBorder="1" applyAlignment="1">
      <alignment horizontal="left" vertical="center" indent="1"/>
    </xf>
    <xf numFmtId="167" fontId="61" fillId="33" borderId="30" xfId="0" applyNumberFormat="1" applyFont="1" applyFill="1" applyBorder="1" applyAlignment="1">
      <alignment horizontal="left" vertical="center" indent="1"/>
    </xf>
    <xf numFmtId="166" fontId="45" fillId="33" borderId="30" xfId="0" applyNumberFormat="1" applyFont="1" applyFill="1" applyBorder="1" applyAlignment="1">
      <alignment horizontal="left" vertical="center" indent="1"/>
    </xf>
    <xf numFmtId="0" fontId="45" fillId="33" borderId="31" xfId="0" applyFont="1" applyFill="1" applyBorder="1" applyAlignment="1">
      <alignment horizontal="left" vertical="center" indent="1"/>
    </xf>
    <xf numFmtId="0" fontId="61" fillId="33" borderId="31" xfId="0" applyFont="1" applyFill="1" applyBorder="1" applyAlignment="1">
      <alignment horizontal="left" vertical="center" indent="1"/>
    </xf>
    <xf numFmtId="167" fontId="11" fillId="33" borderId="3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0" fontId="62" fillId="34" borderId="25" xfId="0" applyNumberFormat="1" applyFont="1" applyFill="1" applyBorder="1" applyAlignment="1" applyProtection="1">
      <alignment horizontal="center"/>
      <protection/>
    </xf>
    <xf numFmtId="170" fontId="45" fillId="34" borderId="30" xfId="0" applyNumberFormat="1" applyFont="1" applyFill="1" applyBorder="1" applyAlignment="1" applyProtection="1">
      <alignment horizontal="center"/>
      <protection locked="0"/>
    </xf>
    <xf numFmtId="167" fontId="57" fillId="35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45" fillId="0" borderId="30" xfId="0" applyFont="1" applyBorder="1" applyAlignment="1">
      <alignment horizontal="center"/>
    </xf>
    <xf numFmtId="169" fontId="45" fillId="34" borderId="30" xfId="0" applyNumberFormat="1" applyFont="1" applyFill="1" applyBorder="1" applyAlignment="1" applyProtection="1">
      <alignment horizontal="center"/>
      <protection locked="0"/>
    </xf>
    <xf numFmtId="168" fontId="45" fillId="34" borderId="30" xfId="0" applyNumberFormat="1" applyFont="1" applyFill="1" applyBorder="1" applyAlignment="1" applyProtection="1">
      <alignment horizontal="center"/>
      <protection/>
    </xf>
    <xf numFmtId="168" fontId="57" fillId="35" borderId="30" xfId="0" applyNumberFormat="1" applyFont="1" applyFill="1" applyBorder="1" applyAlignment="1" applyProtection="1">
      <alignment horizontal="center"/>
      <protection/>
    </xf>
    <xf numFmtId="169" fontId="57" fillId="35" borderId="30" xfId="0" applyNumberFormat="1" applyFont="1" applyFill="1" applyBorder="1" applyAlignment="1" applyProtection="1">
      <alignment horizontal="center"/>
      <protection/>
    </xf>
    <xf numFmtId="0" fontId="45" fillId="0" borderId="30" xfId="0" applyFont="1" applyBorder="1" applyAlignment="1" applyProtection="1">
      <alignment horizontal="center"/>
      <protection locked="0"/>
    </xf>
    <xf numFmtId="0" fontId="45" fillId="33" borderId="30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 vertical="center" wrapText="1"/>
    </xf>
    <xf numFmtId="0" fontId="18" fillId="0" borderId="0" xfId="47" applyFont="1" applyAlignment="1" applyProtection="1">
      <alignment/>
      <protection/>
    </xf>
    <xf numFmtId="165" fontId="58" fillId="0" borderId="0" xfId="0" applyNumberFormat="1" applyFont="1" applyAlignment="1" applyProtection="1">
      <alignment/>
      <protection/>
    </xf>
    <xf numFmtId="0" fontId="45" fillId="36" borderId="31" xfId="0" applyFont="1" applyFill="1" applyBorder="1" applyAlignment="1">
      <alignment/>
    </xf>
    <xf numFmtId="0" fontId="0" fillId="36" borderId="28" xfId="0" applyFill="1" applyBorder="1" applyAlignment="1">
      <alignment/>
    </xf>
    <xf numFmtId="0" fontId="45" fillId="36" borderId="30" xfId="0" applyFont="1" applyFill="1" applyBorder="1" applyAlignment="1">
      <alignment horizontal="center"/>
    </xf>
    <xf numFmtId="166" fontId="45" fillId="36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/>
    </xf>
    <xf numFmtId="0" fontId="45" fillId="36" borderId="31" xfId="0" applyFont="1" applyFill="1" applyBorder="1" applyAlignment="1">
      <alignment vertical="center"/>
    </xf>
    <xf numFmtId="0" fontId="45" fillId="36" borderId="28" xfId="0" applyFont="1" applyFill="1" applyBorder="1" applyAlignment="1">
      <alignment/>
    </xf>
    <xf numFmtId="0" fontId="45" fillId="36" borderId="30" xfId="0" applyFont="1" applyFill="1" applyBorder="1" applyAlignment="1">
      <alignment/>
    </xf>
    <xf numFmtId="0" fontId="45" fillId="0" borderId="32" xfId="0" applyFont="1" applyBorder="1" applyAlignment="1">
      <alignment vertical="center"/>
    </xf>
    <xf numFmtId="0" fontId="45" fillId="0" borderId="35" xfId="0" applyFont="1" applyFill="1" applyBorder="1" applyAlignment="1">
      <alignment/>
    </xf>
    <xf numFmtId="0" fontId="45" fillId="36" borderId="30" xfId="0" applyFont="1" applyFill="1" applyBorder="1" applyAlignment="1">
      <alignment horizontal="right" indent="1"/>
    </xf>
    <xf numFmtId="2" fontId="0" fillId="0" borderId="30" xfId="0" applyNumberFormat="1" applyFill="1" applyBorder="1" applyAlignment="1" applyProtection="1">
      <alignment horizontal="right" indent="1"/>
      <protection locked="0"/>
    </xf>
    <xf numFmtId="2" fontId="0" fillId="0" borderId="30" xfId="0" applyNumberFormat="1" applyBorder="1" applyAlignment="1" applyProtection="1">
      <alignment horizontal="right" indent="1"/>
      <protection locked="0"/>
    </xf>
    <xf numFmtId="0" fontId="0" fillId="0" borderId="30" xfId="0" applyBorder="1" applyAlignment="1" applyProtection="1">
      <alignment horizontal="right" indent="1"/>
      <protection locked="0"/>
    </xf>
    <xf numFmtId="0" fontId="45" fillId="36" borderId="30" xfId="0" applyFont="1" applyFill="1" applyBorder="1" applyAlignment="1" applyProtection="1">
      <alignment horizontal="right" indent="1"/>
      <protection locked="0"/>
    </xf>
    <xf numFmtId="0" fontId="61" fillId="0" borderId="36" xfId="0" applyNumberFormat="1" applyFont="1" applyBorder="1" applyAlignment="1" applyProtection="1">
      <alignment horizontal="center"/>
      <protection locked="0"/>
    </xf>
    <xf numFmtId="0" fontId="61" fillId="0" borderId="37" xfId="0" applyNumberFormat="1" applyFont="1" applyBorder="1" applyAlignment="1" applyProtection="1">
      <alignment horizontal="center"/>
      <protection locked="0"/>
    </xf>
    <xf numFmtId="0" fontId="61" fillId="0" borderId="33" xfId="0" applyNumberFormat="1" applyFont="1" applyBorder="1" applyAlignment="1" applyProtection="1">
      <alignment horizontal="center"/>
      <protection locked="0"/>
    </xf>
    <xf numFmtId="0" fontId="61" fillId="0" borderId="34" xfId="0" applyNumberFormat="1" applyFont="1" applyBorder="1" applyAlignment="1" applyProtection="1">
      <alignment horizontal="center"/>
      <protection locked="0"/>
    </xf>
    <xf numFmtId="0" fontId="61" fillId="0" borderId="38" xfId="0" applyNumberFormat="1" applyFont="1" applyFill="1" applyBorder="1" applyAlignment="1" applyProtection="1">
      <alignment horizontal="center"/>
      <protection locked="0"/>
    </xf>
    <xf numFmtId="0" fontId="61" fillId="0" borderId="17" xfId="0" applyNumberFormat="1" applyFont="1" applyBorder="1" applyAlignment="1" applyProtection="1">
      <alignment horizontal="center"/>
      <protection locked="0"/>
    </xf>
    <xf numFmtId="0" fontId="58" fillId="9" borderId="12" xfId="0" applyNumberFormat="1" applyFont="1" applyFill="1" applyBorder="1" applyAlignment="1">
      <alignment horizontal="center" vertical="center" wrapText="1"/>
    </xf>
    <xf numFmtId="0" fontId="58" fillId="9" borderId="39" xfId="0" applyNumberFormat="1" applyFont="1" applyFill="1" applyBorder="1" applyAlignment="1">
      <alignment horizontal="center" vertical="center" wrapText="1"/>
    </xf>
    <xf numFmtId="0" fontId="58" fillId="9" borderId="37" xfId="0" applyNumberFormat="1" applyFont="1" applyFill="1" applyBorder="1" applyAlignment="1">
      <alignment horizontal="center" vertical="center" wrapText="1"/>
    </xf>
    <xf numFmtId="0" fontId="61" fillId="9" borderId="38" xfId="0" applyNumberFormat="1" applyFont="1" applyFill="1" applyBorder="1" applyAlignment="1" applyProtection="1">
      <alignment horizontal="center"/>
      <protection/>
    </xf>
    <xf numFmtId="0" fontId="61" fillId="9" borderId="12" xfId="0" applyNumberFormat="1" applyFont="1" applyFill="1" applyBorder="1" applyAlignment="1" applyProtection="1">
      <alignment horizontal="center"/>
      <protection/>
    </xf>
    <xf numFmtId="0" fontId="61" fillId="9" borderId="40" xfId="0" applyNumberFormat="1" applyFont="1" applyFill="1" applyBorder="1" applyAlignment="1" applyProtection="1">
      <alignment horizontal="center"/>
      <protection/>
    </xf>
    <xf numFmtId="0" fontId="0" fillId="9" borderId="35" xfId="0" applyNumberFormat="1" applyFont="1" applyFill="1" applyBorder="1" applyAlignment="1" applyProtection="1">
      <alignment horizontal="center"/>
      <protection/>
    </xf>
    <xf numFmtId="0" fontId="61" fillId="9" borderId="41" xfId="0" applyNumberFormat="1" applyFont="1" applyFill="1" applyBorder="1" applyAlignment="1" applyProtection="1">
      <alignment horizontal="center"/>
      <protection/>
    </xf>
    <xf numFmtId="0" fontId="61" fillId="9" borderId="42" xfId="0" applyNumberFormat="1" applyFont="1" applyFill="1" applyBorder="1" applyAlignment="1" applyProtection="1">
      <alignment horizontal="center"/>
      <protection/>
    </xf>
    <xf numFmtId="172" fontId="0" fillId="33" borderId="15" xfId="0" applyNumberFormat="1" applyFont="1" applyFill="1" applyBorder="1" applyAlignment="1" applyProtection="1">
      <alignment horizontal="center"/>
      <protection/>
    </xf>
    <xf numFmtId="172" fontId="0" fillId="33" borderId="43" xfId="0" applyNumberFormat="1" applyFont="1" applyFill="1" applyBorder="1" applyAlignment="1" applyProtection="1">
      <alignment horizontal="center"/>
      <protection/>
    </xf>
    <xf numFmtId="172" fontId="0" fillId="33" borderId="41" xfId="0" applyNumberFormat="1" applyFont="1" applyFill="1" applyBorder="1" applyAlignment="1" applyProtection="1">
      <alignment horizontal="center"/>
      <protection/>
    </xf>
    <xf numFmtId="172" fontId="0" fillId="33" borderId="17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 horizontal="right" indent="1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/>
    </xf>
    <xf numFmtId="0" fontId="0" fillId="33" borderId="30" xfId="0" applyNumberFormat="1" applyFont="1" applyFill="1" applyBorder="1" applyAlignment="1">
      <alignment horizontal="center"/>
    </xf>
    <xf numFmtId="3" fontId="0" fillId="33" borderId="30" xfId="0" applyNumberFormat="1" applyFill="1" applyBorder="1" applyAlignment="1">
      <alignment horizontal="right" indent="1"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44" xfId="0" applyFill="1" applyBorder="1" applyAlignment="1">
      <alignment/>
    </xf>
    <xf numFmtId="3" fontId="0" fillId="33" borderId="44" xfId="0" applyNumberFormat="1" applyFill="1" applyBorder="1" applyAlignment="1">
      <alignment horizontal="right" indent="1"/>
    </xf>
    <xf numFmtId="0" fontId="45" fillId="33" borderId="26" xfId="0" applyFont="1" applyFill="1" applyBorder="1" applyAlignment="1">
      <alignment/>
    </xf>
    <xf numFmtId="3" fontId="0" fillId="33" borderId="26" xfId="0" applyNumberFormat="1" applyFill="1" applyBorder="1" applyAlignment="1">
      <alignment horizontal="right" indent="1"/>
    </xf>
    <xf numFmtId="0" fontId="0" fillId="0" borderId="44" xfId="0" applyBorder="1" applyAlignment="1" applyProtection="1">
      <alignment horizontal="right" indent="1"/>
      <protection locked="0"/>
    </xf>
    <xf numFmtId="0" fontId="45" fillId="0" borderId="26" xfId="0" applyFont="1" applyFill="1" applyBorder="1" applyAlignment="1" applyProtection="1">
      <alignment horizontal="right" indent="1"/>
      <protection/>
    </xf>
    <xf numFmtId="0" fontId="45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58" fillId="37" borderId="46" xfId="0" applyNumberFormat="1" applyFont="1" applyFill="1" applyBorder="1" applyAlignment="1">
      <alignment horizontal="center" vertical="center" wrapText="1"/>
    </xf>
    <xf numFmtId="0" fontId="58" fillId="37" borderId="47" xfId="0" applyNumberFormat="1" applyFont="1" applyFill="1" applyBorder="1" applyAlignment="1">
      <alignment horizontal="center" vertical="center" wrapText="1"/>
    </xf>
    <xf numFmtId="0" fontId="58" fillId="38" borderId="46" xfId="0" applyNumberFormat="1" applyFont="1" applyFill="1" applyBorder="1" applyAlignment="1">
      <alignment horizontal="center" vertical="center" wrapText="1"/>
    </xf>
    <xf numFmtId="0" fontId="58" fillId="38" borderId="47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63" fillId="39" borderId="48" xfId="0" applyNumberFormat="1" applyFont="1" applyFill="1" applyBorder="1" applyAlignment="1">
      <alignment horizontal="center" vertical="center" wrapText="1"/>
    </xf>
    <xf numFmtId="0" fontId="64" fillId="39" borderId="47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Alignment="1">
      <alignment horizontal="left" indent="2"/>
    </xf>
    <xf numFmtId="0" fontId="0" fillId="0" borderId="49" xfId="0" applyNumberFormat="1" applyFont="1" applyBorder="1" applyAlignment="1" applyProtection="1">
      <alignment horizontal="left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0" borderId="50" xfId="0" applyNumberFormat="1" applyFont="1" applyBorder="1" applyAlignment="1" applyProtection="1">
      <alignment horizontal="center"/>
      <protection locked="0"/>
    </xf>
    <xf numFmtId="0" fontId="0" fillId="0" borderId="51" xfId="50" applyNumberFormat="1" applyFont="1" applyBorder="1" applyAlignment="1" applyProtection="1">
      <alignment horizontal="center"/>
      <protection locked="0"/>
    </xf>
    <xf numFmtId="0" fontId="61" fillId="0" borderId="25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right"/>
    </xf>
    <xf numFmtId="0" fontId="0" fillId="0" borderId="0" xfId="50" applyNumberFormat="1" applyFont="1" applyAlignment="1">
      <alignment horizontal="right"/>
    </xf>
    <xf numFmtId="0" fontId="45" fillId="33" borderId="30" xfId="0" applyFont="1" applyFill="1" applyBorder="1" applyAlignment="1">
      <alignment horizontal="center"/>
    </xf>
    <xf numFmtId="173" fontId="0" fillId="0" borderId="0" xfId="0" applyNumberFormat="1" applyAlignment="1">
      <alignment vertical="center"/>
    </xf>
    <xf numFmtId="169" fontId="45" fillId="34" borderId="30" xfId="0" applyNumberFormat="1" applyFont="1" applyFill="1" applyBorder="1" applyAlignment="1" applyProtection="1">
      <alignment horizontal="center"/>
      <protection/>
    </xf>
    <xf numFmtId="170" fontId="45" fillId="34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20" fontId="0" fillId="0" borderId="24" xfId="0" applyNumberFormat="1" applyFont="1" applyFill="1" applyBorder="1" applyAlignment="1" applyProtection="1">
      <alignment horizontal="center"/>
      <protection/>
    </xf>
    <xf numFmtId="172" fontId="0" fillId="0" borderId="15" xfId="0" applyNumberFormat="1" applyFont="1" applyFill="1" applyBorder="1" applyAlignment="1" applyProtection="1">
      <alignment horizontal="center"/>
      <protection/>
    </xf>
    <xf numFmtId="172" fontId="0" fillId="0" borderId="17" xfId="0" applyNumberFormat="1" applyFont="1" applyFill="1" applyBorder="1" applyAlignment="1" applyProtection="1">
      <alignment horizontal="center"/>
      <protection/>
    </xf>
    <xf numFmtId="0" fontId="65" fillId="0" borderId="52" xfId="0" applyNumberFormat="1" applyFont="1" applyFill="1" applyBorder="1" applyAlignment="1">
      <alignment horizontal="center" vertical="center" wrapText="1"/>
    </xf>
    <xf numFmtId="0" fontId="65" fillId="0" borderId="5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 applyProtection="1">
      <alignment horizontal="center"/>
      <protection/>
    </xf>
    <xf numFmtId="0" fontId="66" fillId="0" borderId="0" xfId="47" applyFont="1" applyAlignment="1">
      <alignment vertical="center"/>
    </xf>
    <xf numFmtId="0" fontId="0" fillId="0" borderId="0" xfId="0" applyFill="1" applyBorder="1" applyAlignment="1">
      <alignment/>
    </xf>
    <xf numFmtId="0" fontId="18" fillId="0" borderId="0" xfId="47" applyFont="1" applyFill="1" applyBorder="1" applyAlignment="1" applyProtection="1">
      <alignment/>
      <protection/>
    </xf>
    <xf numFmtId="0" fontId="48" fillId="0" borderId="0" xfId="47" applyFill="1" applyBorder="1" applyAlignment="1">
      <alignment/>
    </xf>
    <xf numFmtId="0" fontId="66" fillId="0" borderId="0" xfId="47" applyFont="1" applyFill="1" applyBorder="1" applyAlignment="1">
      <alignment vertical="center"/>
    </xf>
    <xf numFmtId="13" fontId="0" fillId="0" borderId="30" xfId="0" applyNumberFormat="1" applyBorder="1" applyAlignment="1" applyProtection="1">
      <alignment horizontal="right" indent="1"/>
      <protection locked="0"/>
    </xf>
    <xf numFmtId="0" fontId="67" fillId="0" borderId="0" xfId="0" applyFont="1" applyAlignment="1">
      <alignment/>
    </xf>
    <xf numFmtId="0" fontId="0" fillId="0" borderId="54" xfId="0" applyBorder="1" applyAlignment="1">
      <alignment/>
    </xf>
    <xf numFmtId="0" fontId="68" fillId="0" borderId="54" xfId="0" applyFont="1" applyBorder="1" applyAlignment="1">
      <alignment/>
    </xf>
    <xf numFmtId="0" fontId="0" fillId="0" borderId="54" xfId="0" applyBorder="1" applyAlignment="1" quotePrefix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 quotePrefix="1">
      <alignment/>
    </xf>
    <xf numFmtId="0" fontId="68" fillId="0" borderId="56" xfId="0" applyFont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Fill="1" applyBorder="1" applyAlignment="1" quotePrefix="1">
      <alignment/>
    </xf>
    <xf numFmtId="0" fontId="0" fillId="0" borderId="54" xfId="0" applyFill="1" applyBorder="1" applyAlignment="1" quotePrefix="1">
      <alignment/>
    </xf>
    <xf numFmtId="15" fontId="0" fillId="0" borderId="54" xfId="0" applyNumberFormat="1" applyBorder="1" applyAlignment="1" quotePrefix="1">
      <alignment/>
    </xf>
    <xf numFmtId="0" fontId="0" fillId="0" borderId="54" xfId="0" applyFill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165" fontId="45" fillId="0" borderId="0" xfId="0" applyNumberFormat="1" applyFont="1" applyAlignment="1" applyProtection="1">
      <alignment/>
      <protection/>
    </xf>
    <xf numFmtId="165" fontId="45" fillId="0" borderId="0" xfId="0" applyNumberFormat="1" applyFont="1" applyAlignment="1" applyProtection="1">
      <alignment horizontal="left" indent="1"/>
      <protection/>
    </xf>
    <xf numFmtId="0" fontId="69" fillId="0" borderId="0" xfId="47" applyFont="1" applyAlignment="1" applyProtection="1">
      <alignment/>
      <protection/>
    </xf>
    <xf numFmtId="173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57" xfId="50" applyNumberFormat="1" applyFont="1" applyFill="1" applyBorder="1" applyAlignment="1">
      <alignment horizontal="center" vertical="center" textRotation="90"/>
    </xf>
    <xf numFmtId="0" fontId="0" fillId="33" borderId="27" xfId="50" applyNumberFormat="1" applyFont="1" applyFill="1" applyBorder="1" applyAlignment="1">
      <alignment horizontal="center" vertical="center" textRotation="90"/>
    </xf>
    <xf numFmtId="0" fontId="0" fillId="33" borderId="58" xfId="50" applyNumberFormat="1" applyFont="1" applyFill="1" applyBorder="1" applyAlignment="1">
      <alignment horizontal="center" vertical="center"/>
    </xf>
    <xf numFmtId="0" fontId="0" fillId="33" borderId="57" xfId="50" applyNumberFormat="1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/>
    </xf>
    <xf numFmtId="0" fontId="45" fillId="0" borderId="30" xfId="0" applyFont="1" applyBorder="1" applyAlignment="1">
      <alignment horizontal="right" indent="1"/>
    </xf>
    <xf numFmtId="0" fontId="58" fillId="33" borderId="59" xfId="0" applyNumberFormat="1" applyFont="1" applyFill="1" applyBorder="1" applyAlignment="1" applyProtection="1">
      <alignment horizontal="center" vertical="center" wrapText="1"/>
      <protection/>
    </xf>
    <xf numFmtId="0" fontId="58" fillId="33" borderId="22" xfId="0" applyNumberFormat="1" applyFont="1" applyFill="1" applyBorder="1" applyAlignment="1" applyProtection="1">
      <alignment horizontal="center" vertical="center" wrapText="1"/>
      <protection/>
    </xf>
    <xf numFmtId="0" fontId="70" fillId="33" borderId="60" xfId="50" applyNumberFormat="1" applyFont="1" applyFill="1" applyBorder="1" applyAlignment="1">
      <alignment horizontal="center" vertical="center" textRotation="90"/>
    </xf>
    <xf numFmtId="0" fontId="70" fillId="33" borderId="61" xfId="50" applyNumberFormat="1" applyFont="1" applyFill="1" applyBorder="1" applyAlignment="1">
      <alignment horizontal="center" vertical="center" textRotation="90"/>
    </xf>
    <xf numFmtId="0" fontId="45" fillId="33" borderId="62" xfId="0" applyNumberFormat="1" applyFont="1" applyFill="1" applyBorder="1" applyAlignment="1">
      <alignment horizontal="center" vertical="center"/>
    </xf>
    <xf numFmtId="0" fontId="45" fillId="33" borderId="15" xfId="0" applyNumberFormat="1" applyFont="1" applyFill="1" applyBorder="1" applyAlignment="1">
      <alignment horizontal="center" vertical="center"/>
    </xf>
    <xf numFmtId="0" fontId="45" fillId="33" borderId="63" xfId="0" applyNumberFormat="1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/>
    </xf>
    <xf numFmtId="0" fontId="58" fillId="33" borderId="64" xfId="0" applyNumberFormat="1" applyFont="1" applyFill="1" applyBorder="1" applyAlignment="1">
      <alignment horizontal="center" vertical="center" wrapText="1"/>
    </xf>
    <xf numFmtId="0" fontId="58" fillId="33" borderId="43" xfId="0" applyNumberFormat="1" applyFont="1" applyFill="1" applyBorder="1" applyAlignment="1">
      <alignment horizontal="center" vertical="center" wrapText="1"/>
    </xf>
    <xf numFmtId="0" fontId="58" fillId="33" borderId="59" xfId="0" applyNumberFormat="1" applyFont="1" applyFill="1" applyBorder="1" applyAlignment="1">
      <alignment horizontal="center" vertical="center" wrapText="1"/>
    </xf>
    <xf numFmtId="0" fontId="58" fillId="33" borderId="22" xfId="0" applyNumberFormat="1" applyFont="1" applyFill="1" applyBorder="1" applyAlignment="1">
      <alignment horizontal="center" vertical="center" wrapText="1"/>
    </xf>
    <xf numFmtId="0" fontId="65" fillId="38" borderId="65" xfId="0" applyNumberFormat="1" applyFont="1" applyFill="1" applyBorder="1" applyAlignment="1">
      <alignment horizontal="center" vertical="center" wrapText="1"/>
    </xf>
    <xf numFmtId="0" fontId="65" fillId="38" borderId="66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Alignment="1" applyProtection="1">
      <alignment horizontal="center"/>
      <protection locked="0"/>
    </xf>
    <xf numFmtId="171" fontId="62" fillId="33" borderId="31" xfId="0" applyNumberFormat="1" applyFont="1" applyFill="1" applyBorder="1" applyAlignment="1">
      <alignment horizontal="center"/>
    </xf>
    <xf numFmtId="171" fontId="62" fillId="33" borderId="29" xfId="0" applyNumberFormat="1" applyFont="1" applyFill="1" applyBorder="1" applyAlignment="1">
      <alignment horizontal="center"/>
    </xf>
    <xf numFmtId="165" fontId="45" fillId="0" borderId="0" xfId="0" applyNumberFormat="1" applyFont="1" applyAlignment="1" applyProtection="1">
      <alignment horizontal="center"/>
      <protection locked="0"/>
    </xf>
    <xf numFmtId="0" fontId="48" fillId="0" borderId="0" xfId="47" applyAlignment="1" applyProtection="1">
      <alignment horizontal="left" indent="1"/>
      <protection locked="0"/>
    </xf>
    <xf numFmtId="0" fontId="71" fillId="0" borderId="0" xfId="0" applyFont="1" applyAlignment="1" applyProtection="1">
      <alignment horizontal="left" indent="1"/>
      <protection locked="0"/>
    </xf>
    <xf numFmtId="0" fontId="7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52" xfId="0" applyNumberFormat="1" applyFont="1" applyFill="1" applyBorder="1" applyAlignment="1">
      <alignment horizontal="center" vertical="center" wrapText="1"/>
    </xf>
    <xf numFmtId="0" fontId="58" fillId="33" borderId="53" xfId="0" applyNumberFormat="1" applyFont="1" applyFill="1" applyBorder="1" applyAlignment="1">
      <alignment horizontal="center" vertical="center" wrapText="1"/>
    </xf>
    <xf numFmtId="0" fontId="72" fillId="0" borderId="68" xfId="0" applyNumberFormat="1" applyFont="1" applyFill="1" applyBorder="1" applyAlignment="1" applyProtection="1">
      <alignment horizontal="center" vertical="center" wrapText="1"/>
      <protection locked="0"/>
    </xf>
    <xf numFmtId="44" fontId="72" fillId="0" borderId="69" xfId="58" applyFont="1" applyFill="1" applyBorder="1" applyAlignment="1" applyProtection="1">
      <alignment horizontal="center" vertical="center" wrapText="1"/>
      <protection locked="0"/>
    </xf>
    <xf numFmtId="44" fontId="72" fillId="0" borderId="53" xfId="58" applyFont="1" applyFill="1" applyBorder="1" applyAlignment="1" applyProtection="1">
      <alignment horizontal="center" vertical="center" wrapText="1"/>
      <protection locked="0"/>
    </xf>
    <xf numFmtId="0" fontId="58" fillId="9" borderId="65" xfId="0" applyNumberFormat="1" applyFont="1" applyFill="1" applyBorder="1" applyAlignment="1">
      <alignment horizontal="center" vertical="center" wrapText="1"/>
    </xf>
    <xf numFmtId="0" fontId="58" fillId="9" borderId="62" xfId="0" applyNumberFormat="1" applyFont="1" applyFill="1" applyBorder="1" applyAlignment="1">
      <alignment horizontal="center" vertical="center" wrapText="1"/>
    </xf>
    <xf numFmtId="0" fontId="72" fillId="0" borderId="69" xfId="0" applyNumberFormat="1" applyFont="1" applyFill="1" applyBorder="1" applyAlignment="1" applyProtection="1">
      <alignment horizontal="center" vertical="center" wrapText="1"/>
      <protection locked="0"/>
    </xf>
    <xf numFmtId="4" fontId="45" fillId="36" borderId="31" xfId="0" applyNumberFormat="1" applyFont="1" applyFill="1" applyBorder="1" applyAlignment="1">
      <alignment horizontal="right" indent="1"/>
    </xf>
    <xf numFmtId="4" fontId="45" fillId="36" borderId="29" xfId="0" applyNumberFormat="1" applyFont="1" applyFill="1" applyBorder="1" applyAlignment="1">
      <alignment horizontal="right" indent="1"/>
    </xf>
    <xf numFmtId="0" fontId="58" fillId="9" borderId="63" xfId="0" applyNumberFormat="1" applyFont="1" applyFill="1" applyBorder="1" applyAlignment="1">
      <alignment horizontal="center" vertical="center" wrapText="1"/>
    </xf>
    <xf numFmtId="0" fontId="58" fillId="9" borderId="66" xfId="0" applyNumberFormat="1" applyFon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right" indent="1"/>
    </xf>
    <xf numFmtId="4" fontId="0" fillId="33" borderId="44" xfId="0" applyNumberFormat="1" applyFill="1" applyBorder="1" applyAlignment="1">
      <alignment horizontal="right" indent="1"/>
    </xf>
    <xf numFmtId="0" fontId="45" fillId="36" borderId="31" xfId="0" applyFont="1" applyFill="1" applyBorder="1" applyAlignment="1">
      <alignment horizontal="center"/>
    </xf>
    <xf numFmtId="0" fontId="45" fillId="36" borderId="29" xfId="0" applyFont="1" applyFill="1" applyBorder="1" applyAlignment="1">
      <alignment horizontal="center"/>
    </xf>
    <xf numFmtId="4" fontId="0" fillId="33" borderId="31" xfId="0" applyNumberFormat="1" applyFill="1" applyBorder="1" applyAlignment="1">
      <alignment horizontal="right" indent="1"/>
    </xf>
    <xf numFmtId="4" fontId="0" fillId="33" borderId="29" xfId="0" applyNumberFormat="1" applyFill="1" applyBorder="1" applyAlignment="1">
      <alignment horizontal="right" indent="1"/>
    </xf>
    <xf numFmtId="0" fontId="65" fillId="37" borderId="65" xfId="0" applyNumberFormat="1" applyFont="1" applyFill="1" applyBorder="1" applyAlignment="1">
      <alignment horizontal="center" vertical="center" wrapText="1"/>
    </xf>
    <xf numFmtId="0" fontId="65" fillId="37" borderId="66" xfId="0" applyNumberFormat="1" applyFont="1" applyFill="1" applyBorder="1" applyAlignment="1">
      <alignment horizontal="center" vertical="center" wrapText="1"/>
    </xf>
    <xf numFmtId="0" fontId="45" fillId="37" borderId="32" xfId="0" applyFont="1" applyFill="1" applyBorder="1" applyAlignment="1">
      <alignment horizontal="center"/>
    </xf>
    <xf numFmtId="0" fontId="45" fillId="37" borderId="38" xfId="0" applyFont="1" applyFill="1" applyBorder="1" applyAlignment="1">
      <alignment horizontal="center"/>
    </xf>
    <xf numFmtId="0" fontId="45" fillId="38" borderId="70" xfId="0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/>
    </xf>
    <xf numFmtId="0" fontId="7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72" xfId="0" applyFont="1" applyFill="1" applyBorder="1" applyAlignment="1">
      <alignment horizontal="center"/>
    </xf>
    <xf numFmtId="0" fontId="45" fillId="37" borderId="73" xfId="0" applyFont="1" applyFill="1" applyBorder="1" applyAlignment="1">
      <alignment horizontal="center"/>
    </xf>
    <xf numFmtId="0" fontId="45" fillId="38" borderId="74" xfId="0" applyFont="1" applyFill="1" applyBorder="1" applyAlignment="1">
      <alignment horizontal="center"/>
    </xf>
    <xf numFmtId="0" fontId="45" fillId="37" borderId="75" xfId="0" applyFont="1" applyFill="1" applyBorder="1" applyAlignment="1">
      <alignment horizontal="center"/>
    </xf>
    <xf numFmtId="0" fontId="45" fillId="37" borderId="76" xfId="0" applyFont="1" applyFill="1" applyBorder="1" applyAlignment="1">
      <alignment horizontal="center"/>
    </xf>
    <xf numFmtId="4" fontId="45" fillId="33" borderId="32" xfId="0" applyNumberFormat="1" applyFont="1" applyFill="1" applyBorder="1" applyAlignment="1">
      <alignment horizontal="right" indent="1"/>
    </xf>
    <xf numFmtId="4" fontId="45" fillId="33" borderId="38" xfId="0" applyNumberFormat="1" applyFont="1" applyFill="1" applyBorder="1" applyAlignment="1">
      <alignment horizontal="right" indent="1"/>
    </xf>
    <xf numFmtId="0" fontId="73" fillId="0" borderId="0" xfId="47" applyFont="1" applyAlignment="1" applyProtection="1">
      <alignment horizontal="left" inden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hyperlink" Target="https://www.toll-collect.de/de/toll_collect/bezahlen/maut_tarife/maut_tarife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hyperlink" Target="https://www.toll-collect.de/de/toll_collect/bezahlen/maut_tarife/maut_tarif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24</xdr:row>
      <xdr:rowOff>104775</xdr:rowOff>
    </xdr:from>
    <xdr:to>
      <xdr:col>9</xdr:col>
      <xdr:colOff>695325</xdr:colOff>
      <xdr:row>30</xdr:row>
      <xdr:rowOff>104775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277100" y="4686300"/>
          <a:ext cx="1866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Physik: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V = s : 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V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Geschwindigkeit [km/h]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 = Weg [km]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[h]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 * 60 = Zeit [min]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95250</xdr:rowOff>
    </xdr:from>
    <xdr:to>
      <xdr:col>13</xdr:col>
      <xdr:colOff>466725</xdr:colOff>
      <xdr:row>3</xdr:row>
      <xdr:rowOff>47625</xdr:rowOff>
    </xdr:to>
    <xdr:sp>
      <xdr:nvSpPr>
        <xdr:cNvPr id="1" name="Rechteck 1"/>
        <xdr:cNvSpPr>
          <a:spLocks/>
        </xdr:cNvSpPr>
      </xdr:nvSpPr>
      <xdr:spPr>
        <a:xfrm>
          <a:off x="6057900" y="95250"/>
          <a:ext cx="1619250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0</xdr:row>
      <xdr:rowOff>95250</xdr:rowOff>
    </xdr:from>
    <xdr:to>
      <xdr:col>16</xdr:col>
      <xdr:colOff>361950</xdr:colOff>
      <xdr:row>3</xdr:row>
      <xdr:rowOff>47625</xdr:rowOff>
    </xdr:to>
    <xdr:sp>
      <xdr:nvSpPr>
        <xdr:cNvPr id="2" name="Rechteck 5"/>
        <xdr:cNvSpPr>
          <a:spLocks/>
        </xdr:cNvSpPr>
      </xdr:nvSpPr>
      <xdr:spPr>
        <a:xfrm>
          <a:off x="8105775" y="95250"/>
          <a:ext cx="1800225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</xdr:row>
      <xdr:rowOff>76200</xdr:rowOff>
    </xdr:from>
    <xdr:to>
      <xdr:col>28</xdr:col>
      <xdr:colOff>438150</xdr:colOff>
      <xdr:row>25</xdr:row>
      <xdr:rowOff>180975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2506325" y="1304925"/>
          <a:ext cx="4200525" cy="39052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Bundesautobahn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Lenkzeitunterbrechnung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Wartezeit beim Kunden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Länge der täglichen Ruhezeit (siehe Gesetzblatt)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Weg : Geschwindigkeit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s : 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Anzahl der beim Kunden zu ladenden 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Summe aller Lenkzeiten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erfolgt lt. Gesetz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4,5 h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270 min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Fahrzeit.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 der Spalte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wurden die reinen Fahrzeiten summiert.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Fahrzeitensumme hilft bei der Festlegung der LZU nach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270 min oder nach 540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kann u.U. zur LZU hinzugerechnet werden; in diesem
   Beispiel 10 min + 35 min = 45 min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in diesem Beispile für alle Kunden gleich. Sie wird entweder je Palette oder als Festzeit angegeben.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Palettengröße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gelten in diesem Beispiel die Standardgrößen der Europalette 1 (120 cm x 80 cm). Gitterboxen haben die gleiche Größe.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graue und rote Felder sind gesperrt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(keine Eingabe möglich)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13</xdr:col>
      <xdr:colOff>152400</xdr:colOff>
      <xdr:row>29</xdr:row>
      <xdr:rowOff>180975</xdr:rowOff>
    </xdr:from>
    <xdr:to>
      <xdr:col>16</xdr:col>
      <xdr:colOff>485775</xdr:colOff>
      <xdr:row>32</xdr:row>
      <xdr:rowOff>9525</xdr:rowOff>
    </xdr:to>
    <xdr:sp>
      <xdr:nvSpPr>
        <xdr:cNvPr id="4" name="Textfeld 2"/>
        <xdr:cNvSpPr txBox="1">
          <a:spLocks noChangeArrowheads="1"/>
        </xdr:cNvSpPr>
      </xdr:nvSpPr>
      <xdr:spPr>
        <a:xfrm>
          <a:off x="7362825" y="5886450"/>
          <a:ext cx="2667000" cy="4000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Stellplatz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 das Maß einer EUR 1 - Palette</a:t>
          </a:r>
        </a:p>
      </xdr:txBody>
    </xdr:sp>
    <xdr:clientData/>
  </xdr:twoCellAnchor>
  <xdr:twoCellAnchor>
    <xdr:from>
      <xdr:col>13</xdr:col>
      <xdr:colOff>161925</xdr:colOff>
      <xdr:row>26</xdr:row>
      <xdr:rowOff>76200</xdr:rowOff>
    </xdr:from>
    <xdr:to>
      <xdr:col>17</xdr:col>
      <xdr:colOff>9525</xdr:colOff>
      <xdr:row>29</xdr:row>
      <xdr:rowOff>9525</xdr:rowOff>
    </xdr:to>
    <xdr:sp>
      <xdr:nvSpPr>
        <xdr:cNvPr id="5" name="Textfeld 6"/>
        <xdr:cNvSpPr txBox="1">
          <a:spLocks noChangeArrowheads="1"/>
        </xdr:cNvSpPr>
      </xdr:nvSpPr>
      <xdr:spPr>
        <a:xfrm>
          <a:off x="7372350" y="5305425"/>
          <a:ext cx="26670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1 - Palette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 cm x 80 cm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6 - Palette (Halbpalette)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cm x 80 cm</a:t>
          </a:r>
        </a:p>
      </xdr:txBody>
    </xdr:sp>
    <xdr:clientData/>
  </xdr:twoCellAnchor>
  <xdr:twoCellAnchor>
    <xdr:from>
      <xdr:col>17</xdr:col>
      <xdr:colOff>428625</xdr:colOff>
      <xdr:row>0</xdr:row>
      <xdr:rowOff>95250</xdr:rowOff>
    </xdr:from>
    <xdr:to>
      <xdr:col>22</xdr:col>
      <xdr:colOff>466725</xdr:colOff>
      <xdr:row>3</xdr:row>
      <xdr:rowOff>47625</xdr:rowOff>
    </xdr:to>
    <xdr:sp>
      <xdr:nvSpPr>
        <xdr:cNvPr id="6" name="Textfeld 7"/>
        <xdr:cNvSpPr txBox="1">
          <a:spLocks noChangeArrowheads="1"/>
        </xdr:cNvSpPr>
      </xdr:nvSpPr>
      <xdr:spPr>
        <a:xfrm>
          <a:off x="10458450" y="95250"/>
          <a:ext cx="1981200" cy="6762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 eine 2. Tour am gleichen Tag zu pla-nen, kann eine LZU beim letzten "Kun-den" einhgegeben werden. Damit ver-schiebt sich die Startzeit der 2. Tour.</a:t>
          </a:r>
        </a:p>
      </xdr:txBody>
    </xdr:sp>
    <xdr:clientData fPrintsWithSheet="0"/>
  </xdr:twoCellAnchor>
  <xdr:twoCellAnchor>
    <xdr:from>
      <xdr:col>10</xdr:col>
      <xdr:colOff>9525</xdr:colOff>
      <xdr:row>33</xdr:row>
      <xdr:rowOff>9525</xdr:rowOff>
    </xdr:from>
    <xdr:to>
      <xdr:col>16</xdr:col>
      <xdr:colOff>19050</xdr:colOff>
      <xdr:row>35</xdr:row>
      <xdr:rowOff>161925</xdr:rowOff>
    </xdr:to>
    <xdr:sp>
      <xdr:nvSpPr>
        <xdr:cNvPr id="7" name="Textfeld 4">
          <a:hlinkClick r:id="rId1"/>
        </xdr:cNvPr>
        <xdr:cNvSpPr txBox="1">
          <a:spLocks noChangeArrowheads="1"/>
        </xdr:cNvSpPr>
      </xdr:nvSpPr>
      <xdr:spPr>
        <a:xfrm>
          <a:off x="6076950" y="64770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Routenplaner: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https://www.viamichelin.de/</a:t>
          </a:r>
          <a:r>
            <a:rPr lang="en-US" cap="none" sz="12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10</xdr:col>
      <xdr:colOff>9525</xdr:colOff>
      <xdr:row>36</xdr:row>
      <xdr:rowOff>0</xdr:rowOff>
    </xdr:from>
    <xdr:to>
      <xdr:col>16</xdr:col>
      <xdr:colOff>19050</xdr:colOff>
      <xdr:row>38</xdr:row>
      <xdr:rowOff>161925</xdr:rowOff>
    </xdr:to>
    <xdr:sp>
      <xdr:nvSpPr>
        <xdr:cNvPr id="8" name="Textfeld 8">
          <a:hlinkClick r:id="rId2"/>
        </xdr:cNvPr>
        <xdr:cNvSpPr txBox="1">
          <a:spLocks noChangeArrowheads="1"/>
        </xdr:cNvSpPr>
      </xdr:nvSpPr>
      <xdr:spPr>
        <a:xfrm>
          <a:off x="6076950" y="70485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Mautinformationen: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Mehr Mautinformationen gibt es bei Toll Collect !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95250</xdr:rowOff>
    </xdr:from>
    <xdr:to>
      <xdr:col>13</xdr:col>
      <xdr:colOff>466725</xdr:colOff>
      <xdr:row>3</xdr:row>
      <xdr:rowOff>47625</xdr:rowOff>
    </xdr:to>
    <xdr:sp>
      <xdr:nvSpPr>
        <xdr:cNvPr id="1" name="Rechteck 1"/>
        <xdr:cNvSpPr>
          <a:spLocks/>
        </xdr:cNvSpPr>
      </xdr:nvSpPr>
      <xdr:spPr>
        <a:xfrm>
          <a:off x="6057900" y="95250"/>
          <a:ext cx="1619250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0</xdr:row>
      <xdr:rowOff>95250</xdr:rowOff>
    </xdr:from>
    <xdr:to>
      <xdr:col>16</xdr:col>
      <xdr:colOff>400050</xdr:colOff>
      <xdr:row>3</xdr:row>
      <xdr:rowOff>47625</xdr:rowOff>
    </xdr:to>
    <xdr:sp>
      <xdr:nvSpPr>
        <xdr:cNvPr id="2" name="Rechteck 2"/>
        <xdr:cNvSpPr>
          <a:spLocks/>
        </xdr:cNvSpPr>
      </xdr:nvSpPr>
      <xdr:spPr>
        <a:xfrm>
          <a:off x="8143875" y="95250"/>
          <a:ext cx="1800225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76200</xdr:rowOff>
    </xdr:from>
    <xdr:to>
      <xdr:col>27</xdr:col>
      <xdr:colOff>438150</xdr:colOff>
      <xdr:row>25</xdr:row>
      <xdr:rowOff>180975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2506325" y="1304925"/>
          <a:ext cx="4200525" cy="39052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Bundesautobahn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Lenkzeitunterbrechnung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Wartezeit beim Kunden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Länge der täglichen Ruhezeit (siehe Gesetzblatt)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Weg : Geschwindigkeit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s : 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Anzahl der beim Kunden zu ladenden 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Summe aller Lenkzeiten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erfolgt lt. Gesetz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4,5 h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270 min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Fahrzeit.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 der Spalte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wurden die reinen Fahrzeiten summiert.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Fahrzeitensumme hilft bei der Festlegung der LZU nach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270 min oder nach 540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kann u.U. zur LZU hinzugerechnet werden; in diesem
   Beispiel 10 min + 35 min = 45 min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in diesem Beispile für alle Kunden gleich. Sie wird entweder je Palette oder als Festzeit angegeben.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Palettengröße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gelten in diesem Beispiel die Standardgrößen der Europalette 1 (120 cm x 80 cm). Gitterboxen haben die gleiche Größe.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graue und rote Felder sind gesperrt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(keine Eingabe möglich)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13</xdr:col>
      <xdr:colOff>152400</xdr:colOff>
      <xdr:row>29</xdr:row>
      <xdr:rowOff>180975</xdr:rowOff>
    </xdr:from>
    <xdr:to>
      <xdr:col>16</xdr:col>
      <xdr:colOff>485775</xdr:colOff>
      <xdr:row>32</xdr:row>
      <xdr:rowOff>9525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7362825" y="5886450"/>
          <a:ext cx="2667000" cy="4000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Stellplatz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 das Maß einer EUR 1 - Palette</a:t>
          </a:r>
        </a:p>
      </xdr:txBody>
    </xdr:sp>
    <xdr:clientData/>
  </xdr:twoCellAnchor>
  <xdr:twoCellAnchor>
    <xdr:from>
      <xdr:col>13</xdr:col>
      <xdr:colOff>161925</xdr:colOff>
      <xdr:row>26</xdr:row>
      <xdr:rowOff>76200</xdr:rowOff>
    </xdr:from>
    <xdr:to>
      <xdr:col>17</xdr:col>
      <xdr:colOff>9525</xdr:colOff>
      <xdr:row>29</xdr:row>
      <xdr:rowOff>9525</xdr:rowOff>
    </xdr:to>
    <xdr:sp>
      <xdr:nvSpPr>
        <xdr:cNvPr id="5" name="Textfeld 5"/>
        <xdr:cNvSpPr txBox="1">
          <a:spLocks noChangeArrowheads="1"/>
        </xdr:cNvSpPr>
      </xdr:nvSpPr>
      <xdr:spPr>
        <a:xfrm>
          <a:off x="7372350" y="5305425"/>
          <a:ext cx="26670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1 - Palette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 cm x 80 cm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6 - Palette (Halbpalette)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cm x 80 cm</a:t>
          </a:r>
        </a:p>
      </xdr:txBody>
    </xdr:sp>
    <xdr:clientData/>
  </xdr:twoCellAnchor>
  <xdr:twoCellAnchor>
    <xdr:from>
      <xdr:col>17</xdr:col>
      <xdr:colOff>428625</xdr:colOff>
      <xdr:row>0</xdr:row>
      <xdr:rowOff>95250</xdr:rowOff>
    </xdr:from>
    <xdr:to>
      <xdr:col>21</xdr:col>
      <xdr:colOff>466725</xdr:colOff>
      <xdr:row>3</xdr:row>
      <xdr:rowOff>47625</xdr:rowOff>
    </xdr:to>
    <xdr:sp>
      <xdr:nvSpPr>
        <xdr:cNvPr id="6" name="Textfeld 6"/>
        <xdr:cNvSpPr txBox="1">
          <a:spLocks noChangeArrowheads="1"/>
        </xdr:cNvSpPr>
      </xdr:nvSpPr>
      <xdr:spPr>
        <a:xfrm>
          <a:off x="10458450" y="95250"/>
          <a:ext cx="1981200" cy="6762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kann eine 2. Tour am gleichen Tag geplant werden. Die mögliche Abfahr-zeit nach der 1. Tour wird hier als Start-zeit übernommen.
</a:t>
          </a:r>
        </a:p>
      </xdr:txBody>
    </xdr:sp>
    <xdr:clientData fPrintsWithSheet="0"/>
  </xdr:twoCellAnchor>
  <xdr:twoCellAnchor>
    <xdr:from>
      <xdr:col>10</xdr:col>
      <xdr:colOff>9525</xdr:colOff>
      <xdr:row>33</xdr:row>
      <xdr:rowOff>9525</xdr:rowOff>
    </xdr:from>
    <xdr:to>
      <xdr:col>16</xdr:col>
      <xdr:colOff>19050</xdr:colOff>
      <xdr:row>35</xdr:row>
      <xdr:rowOff>161925</xdr:rowOff>
    </xdr:to>
    <xdr:sp>
      <xdr:nvSpPr>
        <xdr:cNvPr id="7" name="Textfeld 7">
          <a:hlinkClick r:id="rId1"/>
        </xdr:cNvPr>
        <xdr:cNvSpPr txBox="1">
          <a:spLocks noChangeArrowheads="1"/>
        </xdr:cNvSpPr>
      </xdr:nvSpPr>
      <xdr:spPr>
        <a:xfrm>
          <a:off x="6076950" y="64770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Routenplaner: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https://www.viamichelin.de/</a:t>
          </a:r>
          <a:r>
            <a:rPr lang="en-US" cap="none" sz="12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10</xdr:col>
      <xdr:colOff>9525</xdr:colOff>
      <xdr:row>36</xdr:row>
      <xdr:rowOff>0</xdr:rowOff>
    </xdr:from>
    <xdr:to>
      <xdr:col>16</xdr:col>
      <xdr:colOff>19050</xdr:colOff>
      <xdr:row>38</xdr:row>
      <xdr:rowOff>161925</xdr:rowOff>
    </xdr:to>
    <xdr:sp>
      <xdr:nvSpPr>
        <xdr:cNvPr id="8" name="Textfeld 8">
          <a:hlinkClick r:id="rId2"/>
        </xdr:cNvPr>
        <xdr:cNvSpPr txBox="1">
          <a:spLocks noChangeArrowheads="1"/>
        </xdr:cNvSpPr>
      </xdr:nvSpPr>
      <xdr:spPr>
        <a:xfrm>
          <a:off x="6076950" y="70485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Mautinformationen: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Mehr Mautinformationen gibt es bei Toll Collect 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68" sqref="A68"/>
    </sheetView>
  </sheetViews>
  <sheetFormatPr defaultColWidth="11.421875" defaultRowHeight="15"/>
  <cols>
    <col min="1" max="1" width="5.8515625" style="0" customWidth="1"/>
    <col min="2" max="2" width="37.00390625" style="0" customWidth="1"/>
    <col min="3" max="3" width="4.140625" style="0" bestFit="1" customWidth="1"/>
    <col min="4" max="4" width="29.8515625" style="0" customWidth="1"/>
    <col min="5" max="5" width="4.140625" style="0" bestFit="1" customWidth="1"/>
    <col min="11" max="11" width="5.57421875" style="0" customWidth="1"/>
  </cols>
  <sheetData>
    <row r="1" spans="1:2" ht="15.75">
      <c r="A1" s="171" t="s">
        <v>60</v>
      </c>
      <c r="B1" s="171" t="s">
        <v>61</v>
      </c>
    </row>
    <row r="2" spans="1:4" s="172" customFormat="1" ht="15">
      <c r="A2" s="172" t="s">
        <v>64</v>
      </c>
      <c r="C2" s="173" t="s">
        <v>67</v>
      </c>
      <c r="D2" s="172" t="s">
        <v>72</v>
      </c>
    </row>
    <row r="3" spans="1:4" s="172" customFormat="1" ht="15">
      <c r="A3" s="172" t="s">
        <v>62</v>
      </c>
      <c r="B3" s="174" t="s">
        <v>63</v>
      </c>
      <c r="C3" s="173" t="s">
        <v>67</v>
      </c>
      <c r="D3" s="172" t="s">
        <v>73</v>
      </c>
    </row>
    <row r="4" spans="1:4" s="172" customFormat="1" ht="15">
      <c r="A4" s="172" t="s">
        <v>75</v>
      </c>
      <c r="B4" s="174" t="s">
        <v>74</v>
      </c>
      <c r="C4" s="173" t="s">
        <v>67</v>
      </c>
      <c r="D4" s="172" t="s">
        <v>76</v>
      </c>
    </row>
    <row r="5" spans="1:4" s="172" customFormat="1" ht="15">
      <c r="A5" s="172" t="s">
        <v>65</v>
      </c>
      <c r="B5" s="174" t="s">
        <v>66</v>
      </c>
      <c r="C5" s="173" t="s">
        <v>67</v>
      </c>
      <c r="D5" s="175" t="s">
        <v>71</v>
      </c>
    </row>
    <row r="6" spans="1:4" s="172" customFormat="1" ht="15">
      <c r="A6" s="172" t="s">
        <v>68</v>
      </c>
      <c r="B6" s="174" t="s">
        <v>69</v>
      </c>
      <c r="C6" s="173" t="s">
        <v>67</v>
      </c>
      <c r="D6" s="172" t="s">
        <v>70</v>
      </c>
    </row>
    <row r="7" s="172" customFormat="1" ht="15">
      <c r="D7" s="172" t="s">
        <v>121</v>
      </c>
    </row>
    <row r="8" spans="1:6" s="177" customFormat="1" ht="15">
      <c r="A8" s="177" t="s">
        <v>78</v>
      </c>
      <c r="B8" s="178" t="s">
        <v>77</v>
      </c>
      <c r="E8" s="179" t="s">
        <v>67</v>
      </c>
      <c r="F8" s="177" t="s">
        <v>79</v>
      </c>
    </row>
    <row r="9" s="176" customFormat="1" ht="15">
      <c r="F9" s="176" t="s">
        <v>122</v>
      </c>
    </row>
    <row r="10" spans="1:4" s="172" customFormat="1" ht="15">
      <c r="A10" s="172" t="s">
        <v>81</v>
      </c>
      <c r="B10" s="174" t="s">
        <v>80</v>
      </c>
      <c r="C10" s="173" t="s">
        <v>67</v>
      </c>
      <c r="D10" s="172" t="s">
        <v>87</v>
      </c>
    </row>
    <row r="11" spans="1:4" s="172" customFormat="1" ht="15">
      <c r="A11" s="172" t="s">
        <v>82</v>
      </c>
      <c r="B11" s="174" t="s">
        <v>84</v>
      </c>
      <c r="C11" s="173" t="s">
        <v>67</v>
      </c>
      <c r="D11" s="172" t="s">
        <v>86</v>
      </c>
    </row>
    <row r="12" spans="1:4" s="172" customFormat="1" ht="15">
      <c r="A12" s="172" t="s">
        <v>83</v>
      </c>
      <c r="B12" s="174" t="s">
        <v>85</v>
      </c>
      <c r="C12" s="173" t="s">
        <v>67</v>
      </c>
      <c r="D12" s="172" t="s">
        <v>88</v>
      </c>
    </row>
    <row r="13" spans="1:4" s="172" customFormat="1" ht="15">
      <c r="A13" s="172" t="s">
        <v>90</v>
      </c>
      <c r="B13" s="174" t="s">
        <v>89</v>
      </c>
      <c r="C13" s="173" t="s">
        <v>67</v>
      </c>
      <c r="D13" s="172" t="s">
        <v>91</v>
      </c>
    </row>
    <row r="14" spans="1:4" s="172" customFormat="1" ht="15">
      <c r="A14" s="172" t="s">
        <v>92</v>
      </c>
      <c r="B14" s="174" t="s">
        <v>93</v>
      </c>
      <c r="C14" s="173" t="s">
        <v>67</v>
      </c>
      <c r="D14" s="172" t="s">
        <v>94</v>
      </c>
    </row>
    <row r="15" spans="1:4" s="172" customFormat="1" ht="15">
      <c r="A15" s="172" t="s">
        <v>100</v>
      </c>
      <c r="B15" s="174" t="s">
        <v>101</v>
      </c>
      <c r="C15" s="173" t="s">
        <v>67</v>
      </c>
      <c r="D15" s="172" t="s">
        <v>102</v>
      </c>
    </row>
    <row r="16" spans="1:4" s="172" customFormat="1" ht="15">
      <c r="A16" s="172" t="s">
        <v>103</v>
      </c>
      <c r="B16" s="174" t="s">
        <v>104</v>
      </c>
      <c r="C16" s="173" t="s">
        <v>67</v>
      </c>
      <c r="D16" s="172" t="s">
        <v>105</v>
      </c>
    </row>
    <row r="17" spans="1:6" s="172" customFormat="1" ht="15">
      <c r="A17" s="172" t="s">
        <v>95</v>
      </c>
      <c r="B17" s="174" t="s">
        <v>96</v>
      </c>
      <c r="E17" s="173" t="s">
        <v>67</v>
      </c>
      <c r="F17" s="172" t="s">
        <v>97</v>
      </c>
    </row>
    <row r="18" spans="1:2" s="172" customFormat="1" ht="15">
      <c r="A18" s="172" t="s">
        <v>98</v>
      </c>
      <c r="B18" s="174" t="s">
        <v>99</v>
      </c>
    </row>
    <row r="19" spans="1:6" s="177" customFormat="1" ht="15">
      <c r="A19" s="180" t="s">
        <v>106</v>
      </c>
      <c r="B19" s="181" t="s">
        <v>107</v>
      </c>
      <c r="E19" s="179" t="s">
        <v>67</v>
      </c>
      <c r="F19" s="177" t="s">
        <v>108</v>
      </c>
    </row>
    <row r="20" ht="15">
      <c r="F20" t="s">
        <v>109</v>
      </c>
    </row>
    <row r="21" spans="1:4" s="172" customFormat="1" ht="15">
      <c r="A21" s="172" t="s">
        <v>111</v>
      </c>
      <c r="B21" s="182" t="s">
        <v>110</v>
      </c>
      <c r="C21" s="173" t="s">
        <v>67</v>
      </c>
      <c r="D21" s="172" t="s">
        <v>87</v>
      </c>
    </row>
    <row r="22" spans="1:4" s="172" customFormat="1" ht="15">
      <c r="A22" s="172" t="s">
        <v>112</v>
      </c>
      <c r="B22" s="182" t="s">
        <v>110</v>
      </c>
      <c r="C22" s="173" t="s">
        <v>67</v>
      </c>
      <c r="D22" s="172" t="s">
        <v>87</v>
      </c>
    </row>
    <row r="23" spans="1:4" s="172" customFormat="1" ht="15">
      <c r="A23" s="172" t="s">
        <v>113</v>
      </c>
      <c r="B23" s="174" t="s">
        <v>114</v>
      </c>
      <c r="C23" s="173" t="s">
        <v>67</v>
      </c>
      <c r="D23" s="172" t="s">
        <v>115</v>
      </c>
    </row>
    <row r="24" spans="1:4" s="177" customFormat="1" ht="15">
      <c r="A24" s="177" t="s">
        <v>116</v>
      </c>
      <c r="B24" s="178" t="s">
        <v>117</v>
      </c>
      <c r="C24" s="179" t="s">
        <v>67</v>
      </c>
      <c r="D24" s="177" t="s">
        <v>118</v>
      </c>
    </row>
    <row r="25" s="176" customFormat="1" ht="15">
      <c r="D25" s="176" t="s">
        <v>123</v>
      </c>
    </row>
    <row r="26" spans="1:4" s="172" customFormat="1" ht="15">
      <c r="A26" s="172" t="s">
        <v>119</v>
      </c>
      <c r="B26" s="174" t="s">
        <v>120</v>
      </c>
      <c r="C26" s="173" t="s">
        <v>67</v>
      </c>
      <c r="D26" s="172" t="s">
        <v>124</v>
      </c>
    </row>
    <row r="27" spans="1:4" s="172" customFormat="1" ht="15">
      <c r="A27" s="172" t="s">
        <v>125</v>
      </c>
      <c r="B27" s="174" t="s">
        <v>126</v>
      </c>
      <c r="C27" s="173" t="s">
        <v>67</v>
      </c>
      <c r="D27" s="172" t="s">
        <v>129</v>
      </c>
    </row>
    <row r="28" spans="1:4" s="172" customFormat="1" ht="15">
      <c r="A28" s="172" t="s">
        <v>127</v>
      </c>
      <c r="B28" s="174" t="s">
        <v>128</v>
      </c>
      <c r="C28" s="173" t="s">
        <v>67</v>
      </c>
      <c r="D28" s="172" t="s">
        <v>130</v>
      </c>
    </row>
    <row r="29" spans="1:4" s="172" customFormat="1" ht="15">
      <c r="A29" s="172" t="s">
        <v>131</v>
      </c>
      <c r="B29" s="174" t="s">
        <v>132</v>
      </c>
      <c r="C29" s="173" t="s">
        <v>67</v>
      </c>
      <c r="D29" s="172" t="s">
        <v>133</v>
      </c>
    </row>
    <row r="30" spans="1:4" s="172" customFormat="1" ht="15">
      <c r="A30" s="172" t="s">
        <v>134</v>
      </c>
      <c r="B30" s="174" t="s">
        <v>135</v>
      </c>
      <c r="C30" s="173" t="s">
        <v>67</v>
      </c>
      <c r="D30" s="172" t="s">
        <v>136</v>
      </c>
    </row>
    <row r="31" spans="1:4" s="172" customFormat="1" ht="15">
      <c r="A31" s="172" t="s">
        <v>137</v>
      </c>
      <c r="B31" s="174" t="s">
        <v>138</v>
      </c>
      <c r="C31" s="173" t="s">
        <v>67</v>
      </c>
      <c r="D31" s="172" t="s">
        <v>139</v>
      </c>
    </row>
    <row r="32" spans="1:4" s="172" customFormat="1" ht="15">
      <c r="A32" s="172" t="s">
        <v>140</v>
      </c>
      <c r="B32" s="183" t="s">
        <v>141</v>
      </c>
      <c r="C32" s="173" t="s">
        <v>67</v>
      </c>
      <c r="D32" s="172" t="s">
        <v>144</v>
      </c>
    </row>
    <row r="33" spans="1:4" s="172" customFormat="1" ht="15">
      <c r="A33" s="184" t="s">
        <v>142</v>
      </c>
      <c r="B33" s="182" t="s">
        <v>143</v>
      </c>
      <c r="C33" s="173" t="s">
        <v>67</v>
      </c>
      <c r="D33" s="172" t="s">
        <v>145</v>
      </c>
    </row>
    <row r="34" spans="1:2" ht="15.75">
      <c r="A34" s="171" t="s">
        <v>60</v>
      </c>
      <c r="B34" s="171" t="s">
        <v>61</v>
      </c>
    </row>
    <row r="35" spans="1:4" s="172" customFormat="1" ht="15">
      <c r="A35" s="184" t="s">
        <v>146</v>
      </c>
      <c r="B35" s="182" t="s">
        <v>147</v>
      </c>
      <c r="C35" s="173" t="s">
        <v>67</v>
      </c>
      <c r="D35" s="172" t="s">
        <v>148</v>
      </c>
    </row>
    <row r="36" spans="1:4" s="172" customFormat="1" ht="15">
      <c r="A36" s="184" t="s">
        <v>149</v>
      </c>
      <c r="B36" s="182" t="s">
        <v>150</v>
      </c>
      <c r="C36" s="173" t="s">
        <v>67</v>
      </c>
      <c r="D36" s="172" t="s">
        <v>151</v>
      </c>
    </row>
    <row r="37" spans="1:6" ht="15">
      <c r="A37" s="185" t="s">
        <v>152</v>
      </c>
      <c r="B37" s="34" t="s">
        <v>153</v>
      </c>
      <c r="E37" s="186" t="s">
        <v>67</v>
      </c>
      <c r="F37" t="s">
        <v>154</v>
      </c>
    </row>
    <row r="38" ht="15">
      <c r="F38" t="s">
        <v>155</v>
      </c>
    </row>
    <row r="39" s="176" customFormat="1" ht="15">
      <c r="F39" s="176" t="s">
        <v>156</v>
      </c>
    </row>
    <row r="40" spans="1:4" s="172" customFormat="1" ht="15">
      <c r="A40" s="172" t="s">
        <v>157</v>
      </c>
      <c r="B40" s="182" t="s">
        <v>158</v>
      </c>
      <c r="C40" s="173" t="s">
        <v>67</v>
      </c>
      <c r="D40" s="172" t="s">
        <v>159</v>
      </c>
    </row>
    <row r="41" spans="1:6" s="187" customFormat="1" ht="15">
      <c r="A41" s="187" t="s">
        <v>160</v>
      </c>
      <c r="B41" s="34" t="s">
        <v>161</v>
      </c>
      <c r="E41" s="186" t="s">
        <v>67</v>
      </c>
      <c r="F41" s="187" t="s">
        <v>162</v>
      </c>
    </row>
    <row r="42" ht="15">
      <c r="F42" t="s">
        <v>163</v>
      </c>
    </row>
    <row r="43" s="176" customFormat="1" ht="15">
      <c r="F43" s="176" t="s">
        <v>164</v>
      </c>
    </row>
    <row r="44" spans="1:4" ht="15">
      <c r="A44" t="s">
        <v>165</v>
      </c>
      <c r="B44" s="18" t="s">
        <v>166</v>
      </c>
      <c r="C44" s="186" t="s">
        <v>67</v>
      </c>
      <c r="D44" t="s">
        <v>174</v>
      </c>
    </row>
    <row r="45" s="176" customFormat="1" ht="15">
      <c r="D45" s="176" t="s">
        <v>167</v>
      </c>
    </row>
    <row r="46" spans="1:4" ht="15">
      <c r="A46" t="s">
        <v>168</v>
      </c>
      <c r="B46" s="18" t="s">
        <v>169</v>
      </c>
      <c r="C46" s="186" t="s">
        <v>67</v>
      </c>
      <c r="D46" t="s">
        <v>170</v>
      </c>
    </row>
    <row r="47" s="176" customFormat="1" ht="15">
      <c r="D47" s="176" t="s">
        <v>171</v>
      </c>
    </row>
    <row r="48" spans="1:4" ht="15">
      <c r="A48" t="s">
        <v>172</v>
      </c>
      <c r="B48" s="18" t="s">
        <v>173</v>
      </c>
      <c r="C48" s="186" t="s">
        <v>67</v>
      </c>
      <c r="D48" t="s">
        <v>174</v>
      </c>
    </row>
    <row r="49" s="176" customFormat="1" ht="15">
      <c r="D49" s="176" t="s">
        <v>175</v>
      </c>
    </row>
    <row r="50" spans="1:4" s="172" customFormat="1" ht="15">
      <c r="A50" s="172" t="s">
        <v>176</v>
      </c>
      <c r="B50" s="174" t="s">
        <v>177</v>
      </c>
      <c r="C50" s="173" t="s">
        <v>67</v>
      </c>
      <c r="D50" s="184" t="s">
        <v>178</v>
      </c>
    </row>
    <row r="51" spans="1:6" ht="15">
      <c r="A51" t="s">
        <v>179</v>
      </c>
      <c r="B51" s="34" t="s">
        <v>180</v>
      </c>
      <c r="E51" s="186" t="s">
        <v>67</v>
      </c>
      <c r="F51" t="s">
        <v>181</v>
      </c>
    </row>
    <row r="52" s="187" customFormat="1" ht="15">
      <c r="F52" s="187" t="s">
        <v>182</v>
      </c>
    </row>
    <row r="53" s="176" customFormat="1" ht="15">
      <c r="F53" s="176" t="s">
        <v>183</v>
      </c>
    </row>
    <row r="56" ht="15.75">
      <c r="A56" s="171" t="s">
        <v>192</v>
      </c>
    </row>
    <row r="57" ht="6" customHeight="1"/>
    <row r="58" ht="15">
      <c r="A58" t="s">
        <v>184</v>
      </c>
    </row>
    <row r="59" ht="15">
      <c r="A59" t="s">
        <v>185</v>
      </c>
    </row>
    <row r="60" ht="15">
      <c r="A60" t="s">
        <v>186</v>
      </c>
    </row>
    <row r="61" ht="6" customHeight="1"/>
    <row r="62" spans="1:2" ht="15.75">
      <c r="A62" s="171" t="s">
        <v>60</v>
      </c>
      <c r="B62" s="171" t="s">
        <v>61</v>
      </c>
    </row>
    <row r="63" spans="1:4" s="172" customFormat="1" ht="15">
      <c r="A63" s="172" t="s">
        <v>75</v>
      </c>
      <c r="B63" s="174" t="s">
        <v>187</v>
      </c>
      <c r="C63" s="173" t="s">
        <v>67</v>
      </c>
      <c r="D63" s="172" t="s">
        <v>193</v>
      </c>
    </row>
    <row r="64" spans="1:4" s="172" customFormat="1" ht="15">
      <c r="A64" s="184" t="s">
        <v>188</v>
      </c>
      <c r="B64" s="174" t="s">
        <v>101</v>
      </c>
      <c r="C64" s="173" t="s">
        <v>67</v>
      </c>
      <c r="D64" s="175" t="s">
        <v>189</v>
      </c>
    </row>
    <row r="65" spans="1:4" s="172" customFormat="1" ht="15">
      <c r="A65" s="184" t="s">
        <v>157</v>
      </c>
      <c r="B65" s="174" t="s">
        <v>190</v>
      </c>
      <c r="C65" s="173" t="s">
        <v>67</v>
      </c>
      <c r="D65" s="175" t="s">
        <v>191</v>
      </c>
    </row>
    <row r="67" ht="15">
      <c r="A67" t="s">
        <v>194</v>
      </c>
    </row>
  </sheetData>
  <sheetProtection sheet="1" objects="1" scenarios="1" selectLockedCells="1" selectUnlockedCells="1"/>
  <printOptions/>
  <pageMargins left="0.1968503937007874" right="0.1968503937007874" top="0.984251968503937" bottom="0.5118110236220472" header="0.7086614173228347" footer="0.2755905511811024"/>
  <pageSetup horizontalDpi="600" verticalDpi="600" orientation="landscape" paperSize="9" r:id="rId2"/>
  <headerFooter>
    <oddHeader>&amp;L&amp;"-,Fett"&amp;12Formeln und Hinweise zur Tourenplanung&amp;"-,Standard" - (Tour 1)</oddHeader>
    <oddFooter>&amp;L&amp;"-,Kursiv"&amp;9Dozent:  Uwe Wegewitz  &amp;"-,Fett"+&amp;"-,Kursiv"  www.wegewitz-web.de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showZeros="0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1.7109375" style="0" customWidth="1"/>
    <col min="2" max="2" width="2.7109375" style="0" customWidth="1"/>
    <col min="3" max="3" width="10.57421875" style="0" customWidth="1"/>
    <col min="4" max="4" width="18.140625" style="0" customWidth="1"/>
    <col min="5" max="5" width="18.28125" style="0" customWidth="1"/>
    <col min="6" max="6" width="8.8515625" style="0" bestFit="1" customWidth="1"/>
    <col min="8" max="8" width="7.8515625" style="0" customWidth="1"/>
    <col min="9" max="13" width="5.7109375" style="63" customWidth="1"/>
    <col min="14" max="14" width="8.28125" style="0" customWidth="1"/>
    <col min="15" max="15" width="19.421875" style="0" customWidth="1"/>
    <col min="16" max="21" width="7.28125" style="0" customWidth="1"/>
    <col min="22" max="22" width="7.28125" style="19" hidden="1" customWidth="1"/>
    <col min="23" max="23" width="7.28125" style="46" customWidth="1"/>
  </cols>
  <sheetData>
    <row r="1" spans="2:29" s="4" customFormat="1" ht="26.25" customHeight="1">
      <c r="B1" s="197"/>
      <c r="C1" s="197"/>
      <c r="D1" s="80" t="s">
        <v>24</v>
      </c>
      <c r="E1" s="80" t="s">
        <v>25</v>
      </c>
      <c r="F1" s="81" t="s">
        <v>28</v>
      </c>
      <c r="G1" s="81" t="s">
        <v>56</v>
      </c>
      <c r="H1" s="81" t="s">
        <v>58</v>
      </c>
      <c r="J1" s="67"/>
      <c r="K1" s="2" t="s">
        <v>57</v>
      </c>
      <c r="L1" s="67"/>
      <c r="O1" s="146"/>
      <c r="P1" s="152" t="s">
        <v>48</v>
      </c>
      <c r="R1" s="45"/>
      <c r="S1" s="45"/>
      <c r="T1" s="45"/>
      <c r="U1" s="45"/>
      <c r="V1" s="158"/>
      <c r="W1" s="45"/>
      <c r="X1" s="82" t="s">
        <v>31</v>
      </c>
      <c r="Y1" s="190"/>
      <c r="Z1" s="190"/>
      <c r="AA1" s="190"/>
      <c r="AB1" s="45"/>
      <c r="AC1" s="45"/>
    </row>
    <row r="2" spans="2:29" s="4" customFormat="1" ht="15.75">
      <c r="B2" s="198" t="s">
        <v>26</v>
      </c>
      <c r="C2" s="198"/>
      <c r="D2" s="75">
        <f ca="1">TODAY()+8-WEEKDAY(TODAY(),2)</f>
        <v>43493</v>
      </c>
      <c r="E2" s="70">
        <v>0.2916666666666667</v>
      </c>
      <c r="F2" s="76">
        <f>D2</f>
        <v>43493</v>
      </c>
      <c r="G2" s="79">
        <v>12</v>
      </c>
      <c r="H2" s="79"/>
      <c r="L2" s="153" t="s">
        <v>16</v>
      </c>
      <c r="M2" s="213">
        <v>80</v>
      </c>
      <c r="N2" s="213"/>
      <c r="O2" s="72" t="s">
        <v>15</v>
      </c>
      <c r="P2" s="216"/>
      <c r="Q2" s="216"/>
      <c r="R2" s="188"/>
      <c r="S2" s="189"/>
      <c r="T2" s="45"/>
      <c r="U2" s="45"/>
      <c r="V2" s="158"/>
      <c r="W2" s="83"/>
      <c r="X2" s="217" t="s">
        <v>29</v>
      </c>
      <c r="Y2" s="218"/>
      <c r="Z2" s="218"/>
      <c r="AA2" s="45"/>
      <c r="AB2" s="45"/>
      <c r="AC2" s="45"/>
    </row>
    <row r="3" spans="2:29" s="4" customFormat="1" ht="15" customHeight="1">
      <c r="B3" s="198" t="s">
        <v>27</v>
      </c>
      <c r="C3" s="198"/>
      <c r="D3" s="78">
        <f>MAX(U7:U26)</f>
        <v>43493.291666666664</v>
      </c>
      <c r="E3" s="71">
        <f>MAX(U7:U26)</f>
        <v>43493.291666666664</v>
      </c>
      <c r="F3" s="77">
        <f>D3</f>
        <v>43493.291666666664</v>
      </c>
      <c r="G3" s="214" t="str">
        <f>IF(OR(MIN(M7:M26)&lt;0,MAX(M7:M26)&gt;G2),"FEHLER","Plätze evtl. frei")</f>
        <v>Plätze evtl. frei</v>
      </c>
      <c r="H3" s="215"/>
      <c r="L3" s="153" t="s">
        <v>17</v>
      </c>
      <c r="M3" s="213">
        <v>60</v>
      </c>
      <c r="N3" s="213"/>
      <c r="O3" s="73" t="s">
        <v>47</v>
      </c>
      <c r="P3" s="216">
        <v>10</v>
      </c>
      <c r="Q3" s="216"/>
      <c r="R3" s="188"/>
      <c r="S3" s="189"/>
      <c r="T3" s="45"/>
      <c r="U3" s="45"/>
      <c r="V3" s="158"/>
      <c r="W3" s="83"/>
      <c r="X3" s="45"/>
      <c r="Y3" s="45"/>
      <c r="Z3" s="45"/>
      <c r="AA3" s="45"/>
      <c r="AB3" s="45"/>
      <c r="AC3" s="45"/>
    </row>
    <row r="4" spans="2:29" ht="9.75" customHeight="1" thickBot="1">
      <c r="B4" s="5"/>
      <c r="C4" s="1"/>
      <c r="D4" s="3"/>
      <c r="E4" s="6"/>
      <c r="F4" s="6"/>
      <c r="G4" s="6"/>
      <c r="H4" s="6"/>
      <c r="I4" s="67"/>
      <c r="J4" s="67"/>
      <c r="K4" s="67"/>
      <c r="L4" s="67"/>
      <c r="M4" s="67"/>
      <c r="S4" s="46"/>
      <c r="X4" s="46"/>
      <c r="Y4" s="46"/>
      <c r="Z4" s="46"/>
      <c r="AA4" s="46"/>
      <c r="AB4" s="46"/>
      <c r="AC4" s="46"/>
    </row>
    <row r="5" spans="2:29" s="9" customFormat="1" ht="15" customHeight="1">
      <c r="B5" s="201" t="s">
        <v>1</v>
      </c>
      <c r="C5" s="203" t="s">
        <v>2</v>
      </c>
      <c r="D5" s="205" t="s">
        <v>3</v>
      </c>
      <c r="E5" s="203"/>
      <c r="F5" s="7" t="s">
        <v>13</v>
      </c>
      <c r="G5" s="8" t="s">
        <v>0</v>
      </c>
      <c r="H5" s="7" t="s">
        <v>4</v>
      </c>
      <c r="I5" s="211" t="s">
        <v>50</v>
      </c>
      <c r="J5" s="212"/>
      <c r="K5" s="239" t="s">
        <v>49</v>
      </c>
      <c r="L5" s="240"/>
      <c r="M5" s="143" t="s">
        <v>51</v>
      </c>
      <c r="N5" s="8" t="s">
        <v>5</v>
      </c>
      <c r="O5" s="221" t="s">
        <v>30</v>
      </c>
      <c r="P5" s="231" t="s">
        <v>42</v>
      </c>
      <c r="Q5" s="232"/>
      <c r="R5" s="226" t="s">
        <v>43</v>
      </c>
      <c r="S5" s="227"/>
      <c r="T5" s="207" t="s">
        <v>6</v>
      </c>
      <c r="U5" s="209" t="s">
        <v>7</v>
      </c>
      <c r="V5" s="162" t="s">
        <v>59</v>
      </c>
      <c r="W5" s="199" t="s">
        <v>18</v>
      </c>
      <c r="X5" s="191"/>
      <c r="Y5" s="192"/>
      <c r="Z5" s="192"/>
      <c r="AA5" s="192"/>
      <c r="AB5" s="192"/>
      <c r="AC5" s="192"/>
    </row>
    <row r="6" spans="2:29" s="9" customFormat="1" ht="15" customHeight="1" thickBot="1">
      <c r="B6" s="202"/>
      <c r="C6" s="204"/>
      <c r="D6" s="206"/>
      <c r="E6" s="204"/>
      <c r="F6" s="10" t="s">
        <v>14</v>
      </c>
      <c r="G6" s="11" t="s">
        <v>14</v>
      </c>
      <c r="H6" s="10" t="s">
        <v>8</v>
      </c>
      <c r="I6" s="140" t="s">
        <v>22</v>
      </c>
      <c r="J6" s="141" t="s">
        <v>23</v>
      </c>
      <c r="K6" s="138" t="s">
        <v>22</v>
      </c>
      <c r="L6" s="139" t="s">
        <v>23</v>
      </c>
      <c r="M6" s="144" t="s">
        <v>52</v>
      </c>
      <c r="N6" s="12" t="s">
        <v>8</v>
      </c>
      <c r="O6" s="222"/>
      <c r="P6" s="108" t="s">
        <v>35</v>
      </c>
      <c r="Q6" s="109" t="s">
        <v>1</v>
      </c>
      <c r="R6" s="109" t="s">
        <v>35</v>
      </c>
      <c r="S6" s="110" t="s">
        <v>1</v>
      </c>
      <c r="T6" s="208"/>
      <c r="U6" s="210"/>
      <c r="V6" s="163" t="s">
        <v>6</v>
      </c>
      <c r="W6" s="200"/>
      <c r="X6" s="192"/>
      <c r="Y6" s="192"/>
      <c r="Z6" s="192"/>
      <c r="AA6" s="192"/>
      <c r="AB6" s="192"/>
      <c r="AC6" s="192"/>
    </row>
    <row r="7" spans="2:23" ht="15.75" thickTop="1">
      <c r="B7" s="195">
        <v>1</v>
      </c>
      <c r="C7" s="35"/>
      <c r="D7" s="37"/>
      <c r="E7" s="38"/>
      <c r="F7" s="39"/>
      <c r="G7" s="40"/>
      <c r="H7" s="42">
        <f>ROUNDUP((F7/$M$2+G7/$M$3)*60,0)</f>
        <v>0</v>
      </c>
      <c r="I7" s="41"/>
      <c r="J7" s="64"/>
      <c r="K7" s="64"/>
      <c r="L7" s="64"/>
      <c r="M7" s="164">
        <f>IF(H7=0,"",G2-H2-I7-J7/2+K7+L7/2)</f>
      </c>
      <c r="N7" s="30">
        <f>IF(H7=0,0,IF(ISBLANK($P$2),$P$3,SUM(I7:L7)*$P$2))</f>
        <v>0</v>
      </c>
      <c r="O7" s="223"/>
      <c r="P7" s="102"/>
      <c r="Q7" s="111"/>
      <c r="R7" s="106"/>
      <c r="S7" s="114"/>
      <c r="T7" s="69">
        <f>D2+E2</f>
        <v>43493.291666666664</v>
      </c>
      <c r="U7" s="50">
        <f>T7+(H7+P7+R7*60)/60/24</f>
        <v>43493.291666666664</v>
      </c>
      <c r="V7" s="159">
        <f>U7+(N7+Q8+S8*60)/60/24-IF(S8&gt;0,N7/60/24,0)</f>
        <v>43493.291666666664</v>
      </c>
      <c r="W7" s="49">
        <f>H7</f>
        <v>0</v>
      </c>
    </row>
    <row r="8" spans="2:23" ht="15.75" thickBot="1">
      <c r="B8" s="196"/>
      <c r="C8" s="26"/>
      <c r="D8" s="23"/>
      <c r="E8" s="22" t="str">
        <f>IF(ISBLANK(E9),"Tourende","Lade-/Lenk-/Ruhezeitunterbrechg.")</f>
        <v>Tourende</v>
      </c>
      <c r="F8" s="13"/>
      <c r="G8" s="14"/>
      <c r="H8" s="43"/>
      <c r="I8" s="28"/>
      <c r="J8" s="65"/>
      <c r="K8" s="65"/>
      <c r="L8" s="65"/>
      <c r="M8" s="65"/>
      <c r="N8" s="31"/>
      <c r="O8" s="220"/>
      <c r="P8" s="112"/>
      <c r="Q8" s="103"/>
      <c r="R8" s="113"/>
      <c r="S8" s="104"/>
      <c r="T8" s="118">
        <f>T7</f>
        <v>43493.291666666664</v>
      </c>
      <c r="U8" s="117">
        <f>U7</f>
        <v>43493.291666666664</v>
      </c>
      <c r="V8" s="160"/>
      <c r="W8" s="47"/>
    </row>
    <row r="9" spans="2:23" ht="15.75" thickTop="1">
      <c r="B9" s="196">
        <f>B7+1</f>
        <v>2</v>
      </c>
      <c r="C9" s="150"/>
      <c r="D9" s="21">
        <f>IF(ISBLANK(E9),"",E7)</f>
      </c>
      <c r="E9" s="147"/>
      <c r="F9" s="148"/>
      <c r="G9" s="149"/>
      <c r="H9" s="42">
        <f>ROUNDUP((F9/$M$2+G9/$M$3)*60,0)</f>
        <v>0</v>
      </c>
      <c r="I9" s="41"/>
      <c r="J9" s="64"/>
      <c r="K9" s="64"/>
      <c r="L9" s="64"/>
      <c r="M9" s="164">
        <f>IF(H9=0,"",M7-I9-J9/2+K9+L9/2)</f>
      </c>
      <c r="N9" s="30">
        <f>IF(H9=0,0,IF(ISBLANK($P$2),$P$3,I9*$P$2))</f>
        <v>0</v>
      </c>
      <c r="O9" s="219"/>
      <c r="P9" s="102"/>
      <c r="Q9" s="111"/>
      <c r="R9" s="106"/>
      <c r="S9" s="114"/>
      <c r="T9" s="51">
        <f>IF(H9=0,0,U7+(N7+Q8+S8*60)/60/24-IF(S8&gt;0,N7/60/24,0))</f>
        <v>0</v>
      </c>
      <c r="U9" s="50">
        <f>T9+(H9+P9+R9*60)/60/24</f>
        <v>0</v>
      </c>
      <c r="V9" s="159">
        <f>U9+(N9+Q10+S10*60)/60/24-IF(S10&gt;0,N9/60/24,0)</f>
        <v>0</v>
      </c>
      <c r="W9" s="49">
        <f>IF(H9=0,0,IF(OR(R7&gt;0,S8&gt;0),H9,H9+W7))</f>
        <v>0</v>
      </c>
    </row>
    <row r="10" spans="2:23" ht="15.75" thickBot="1">
      <c r="B10" s="196"/>
      <c r="C10" s="26"/>
      <c r="D10" s="23"/>
      <c r="E10" s="22">
        <f>IF(OR(E8="",E8="Tourende"),"",IF(ISBLANK(E11),"Tourende","Lade-/Lenk-/Ruhezeitunterbrechg."))</f>
      </c>
      <c r="F10" s="13"/>
      <c r="G10" s="14"/>
      <c r="H10" s="43"/>
      <c r="I10" s="28"/>
      <c r="J10" s="65"/>
      <c r="K10" s="65"/>
      <c r="L10" s="65"/>
      <c r="M10" s="65"/>
      <c r="N10" s="31"/>
      <c r="O10" s="220"/>
      <c r="P10" s="112"/>
      <c r="Q10" s="103"/>
      <c r="R10" s="113"/>
      <c r="S10" s="104"/>
      <c r="T10" s="118">
        <f>T9</f>
        <v>0</v>
      </c>
      <c r="U10" s="117">
        <f>U9</f>
        <v>0</v>
      </c>
      <c r="V10" s="160"/>
      <c r="W10" s="47"/>
    </row>
    <row r="11" spans="2:23" ht="15.75" thickTop="1">
      <c r="B11" s="196">
        <f aca="true" t="shared" si="0" ref="B11:B19">B9+1</f>
        <v>3</v>
      </c>
      <c r="C11" s="35"/>
      <c r="D11" s="21">
        <f>IF(ISBLANK(E11),"",E9)</f>
        <v>0</v>
      </c>
      <c r="E11" s="38">
        <f>D7</f>
        <v>0</v>
      </c>
      <c r="F11" s="39"/>
      <c r="G11" s="40"/>
      <c r="H11" s="42">
        <f>ROUNDUP((F11/$M$2+G11/$M$3)*60,0)</f>
        <v>0</v>
      </c>
      <c r="I11" s="41"/>
      <c r="J11" s="64"/>
      <c r="K11" s="64"/>
      <c r="L11" s="64"/>
      <c r="M11" s="164">
        <f>IF(H11=0,"",M9-I11-J11/2+K11+L11/2)</f>
      </c>
      <c r="N11" s="30">
        <f>IF(H11=0,0,IF(ISBLANK($P$2),$P$3,I11*$P$2))</f>
        <v>0</v>
      </c>
      <c r="O11" s="224"/>
      <c r="P11" s="151"/>
      <c r="Q11" s="111"/>
      <c r="R11" s="106"/>
      <c r="S11" s="114"/>
      <c r="T11" s="51">
        <f>IF(H11=0,0,U9+(N9+Q10+S10*60)/60/24-IF(S10&gt;0,N9/60/24,0))</f>
        <v>0</v>
      </c>
      <c r="U11" s="50">
        <f>T11+(H11+P11+R11*60)/60/24</f>
        <v>0</v>
      </c>
      <c r="V11" s="159">
        <f>U11+(N11+Q12+S12*60)/60/24-IF(S12&gt;0,N11/60/24,0)</f>
        <v>0</v>
      </c>
      <c r="W11" s="49">
        <f>IF(H11=0,0,IF(OR(R9&gt;0,S10&gt;0),H11,H11+W9))</f>
        <v>0</v>
      </c>
    </row>
    <row r="12" spans="2:23" ht="15.75" thickBot="1">
      <c r="B12" s="196"/>
      <c r="C12" s="26"/>
      <c r="D12" s="23"/>
      <c r="E12" s="22">
        <f>IF(OR(E10="",E10="Tourende"),"",IF(ISBLANK(E13),"Tourende","Lade-/Lenk-/Ruhezeitunterbrechg."))</f>
      </c>
      <c r="F12" s="13"/>
      <c r="G12" s="14"/>
      <c r="H12" s="43"/>
      <c r="I12" s="28"/>
      <c r="J12" s="65"/>
      <c r="K12" s="65"/>
      <c r="L12" s="65"/>
      <c r="M12" s="65"/>
      <c r="N12" s="31"/>
      <c r="O12" s="225"/>
      <c r="P12" s="112"/>
      <c r="Q12" s="103"/>
      <c r="R12" s="113"/>
      <c r="S12" s="104"/>
      <c r="T12" s="118">
        <f>T11</f>
        <v>0</v>
      </c>
      <c r="U12" s="117">
        <f>U11</f>
        <v>0</v>
      </c>
      <c r="V12" s="160"/>
      <c r="W12" s="47"/>
    </row>
    <row r="13" spans="2:23" ht="15.75" thickTop="1">
      <c r="B13" s="195">
        <f t="shared" si="0"/>
        <v>4</v>
      </c>
      <c r="C13" s="35"/>
      <c r="D13" s="21">
        <f>IF(ISBLANK(E13),"",E11)</f>
      </c>
      <c r="E13" s="38"/>
      <c r="F13" s="39"/>
      <c r="G13" s="40"/>
      <c r="H13" s="42">
        <f>ROUNDUP((F13/$M$2+G13/$M$3)*60,0)</f>
        <v>0</v>
      </c>
      <c r="I13" s="41"/>
      <c r="J13" s="64"/>
      <c r="K13" s="64"/>
      <c r="L13" s="64"/>
      <c r="M13" s="164">
        <f>IF(H13=0,"",M11-I13-J13/2+K13+L13/2)</f>
      </c>
      <c r="N13" s="30">
        <f>IF(H13=0,0,IF(ISBLANK($P$2),$P$3,I13*$P$2))</f>
        <v>0</v>
      </c>
      <c r="O13" s="228"/>
      <c r="P13" s="151"/>
      <c r="Q13" s="111"/>
      <c r="R13" s="106"/>
      <c r="S13" s="114"/>
      <c r="T13" s="51">
        <f>IF(H13=0,0,U11+(N11+Q12+S12*60)/60/24-IF(S12&gt;0,N11/60/24,0))</f>
        <v>0</v>
      </c>
      <c r="U13" s="50">
        <f>T13+(H13+P13+R13*60)/60/24</f>
        <v>0</v>
      </c>
      <c r="V13" s="159">
        <f>U13+(N13+Q14+S14*60)/60/24-IF(S14&gt;0,N13/60/24,0)</f>
        <v>0</v>
      </c>
      <c r="W13" s="49">
        <f>IF(H13=0,0,IF(OR(R11&gt;0,S12&gt;0),H13,H13+W11))</f>
        <v>0</v>
      </c>
    </row>
    <row r="14" spans="2:23" ht="15.75" thickBot="1">
      <c r="B14" s="196"/>
      <c r="C14" s="26"/>
      <c r="D14" s="23"/>
      <c r="E14" s="22">
        <f>IF(OR(E12="",E12="Tourende"),"",IF(ISBLANK(E15),"Tourende","Lade-/Lenk-/Ruhezeitunterbrechg."))</f>
      </c>
      <c r="F14" s="13"/>
      <c r="G14" s="14"/>
      <c r="H14" s="43"/>
      <c r="I14" s="28"/>
      <c r="J14" s="65"/>
      <c r="K14" s="65"/>
      <c r="L14" s="65"/>
      <c r="M14" s="65"/>
      <c r="N14" s="31"/>
      <c r="O14" s="220"/>
      <c r="P14" s="112"/>
      <c r="Q14" s="103"/>
      <c r="R14" s="113"/>
      <c r="S14" s="104"/>
      <c r="T14" s="118">
        <f>T13</f>
        <v>0</v>
      </c>
      <c r="U14" s="117">
        <f>U13</f>
        <v>0</v>
      </c>
      <c r="V14" s="160"/>
      <c r="W14" s="47"/>
    </row>
    <row r="15" spans="2:23" ht="15.75" thickTop="1">
      <c r="B15" s="196">
        <f t="shared" si="0"/>
        <v>5</v>
      </c>
      <c r="C15" s="35"/>
      <c r="D15" s="21">
        <f>IF(ISBLANK(E15),"",E13)</f>
      </c>
      <c r="E15" s="38"/>
      <c r="F15" s="39"/>
      <c r="G15" s="40"/>
      <c r="H15" s="42">
        <f>ROUNDUP((F15/$M$2+G15/$M$3)*60,0)</f>
        <v>0</v>
      </c>
      <c r="I15" s="41"/>
      <c r="J15" s="64"/>
      <c r="K15" s="64"/>
      <c r="L15" s="64"/>
      <c r="M15" s="164">
        <f>IF(H15=0,"",M13-I15-J15/2+K15+L15/2)</f>
      </c>
      <c r="N15" s="30">
        <f>IF(H15=0,0,IF(ISBLANK($P$2),$P$3,I15*$P$2))</f>
        <v>0</v>
      </c>
      <c r="O15" s="219"/>
      <c r="P15" s="102"/>
      <c r="Q15" s="111"/>
      <c r="R15" s="106"/>
      <c r="S15" s="114"/>
      <c r="T15" s="51">
        <f>IF(H15=0,0,U13+(N13+Q14+S14*60)/60/24-IF(S14&gt;0,N13/60/24,0))</f>
        <v>0</v>
      </c>
      <c r="U15" s="50">
        <f>T15+(H15+P15+R15*60)/60/24</f>
        <v>0</v>
      </c>
      <c r="V15" s="159">
        <f>U15+(N15+Q16+S16*60)/60/24-IF(S16&gt;0,N15/60/24,0)</f>
        <v>0</v>
      </c>
      <c r="W15" s="49">
        <f>IF(H15=0,0,IF(OR(R13&gt;0,S14&gt;0),H15,H15+W13))</f>
        <v>0</v>
      </c>
    </row>
    <row r="16" spans="2:23" ht="15.75" thickBot="1">
      <c r="B16" s="196"/>
      <c r="C16" s="26"/>
      <c r="D16" s="23"/>
      <c r="E16" s="22">
        <f>IF(OR(E14="",E14="Tourende"),"",IF(ISBLANK(E17),"Tourende","Lade-/Lenk-/Ruhezeitunterbrechg."))</f>
      </c>
      <c r="F16" s="13"/>
      <c r="G16" s="14"/>
      <c r="H16" s="43"/>
      <c r="I16" s="28"/>
      <c r="J16" s="65"/>
      <c r="K16" s="65"/>
      <c r="L16" s="65"/>
      <c r="M16" s="65"/>
      <c r="N16" s="31"/>
      <c r="O16" s="220"/>
      <c r="P16" s="112"/>
      <c r="Q16" s="103"/>
      <c r="R16" s="113"/>
      <c r="S16" s="104"/>
      <c r="T16" s="118">
        <f>T15</f>
        <v>0</v>
      </c>
      <c r="U16" s="117">
        <f>U15</f>
        <v>0</v>
      </c>
      <c r="V16" s="160"/>
      <c r="W16" s="47"/>
    </row>
    <row r="17" spans="2:23" ht="15.75" thickTop="1">
      <c r="B17" s="196">
        <f t="shared" si="0"/>
        <v>6</v>
      </c>
      <c r="C17" s="35"/>
      <c r="D17" s="21">
        <f>IF(ISBLANK(E17),"",E15)</f>
      </c>
      <c r="E17" s="38"/>
      <c r="F17" s="39"/>
      <c r="G17" s="40"/>
      <c r="H17" s="42">
        <f>ROUNDUP((F17/$M$2+G17/$M$3)*60,0)</f>
        <v>0</v>
      </c>
      <c r="I17" s="41"/>
      <c r="J17" s="64"/>
      <c r="K17" s="64"/>
      <c r="L17" s="64"/>
      <c r="M17" s="164">
        <f>IF(H17=0,"",M15-I17-J17/2+K17+L17/2)</f>
      </c>
      <c r="N17" s="30">
        <f>IF(H17=0,0,IF(ISBLANK($P$2),$P$3,I17*$P$2))</f>
        <v>0</v>
      </c>
      <c r="O17" s="219"/>
      <c r="P17" s="102"/>
      <c r="Q17" s="111"/>
      <c r="R17" s="106"/>
      <c r="S17" s="114"/>
      <c r="T17" s="51">
        <f>IF(H17=0,0,U15+(N15+Q16+S16*60)/60/24-IF(S16&gt;0,N15/60/24,0))</f>
        <v>0</v>
      </c>
      <c r="U17" s="50">
        <f>T17+(H17+P17+R17*60)/60/24</f>
        <v>0</v>
      </c>
      <c r="V17" s="159">
        <f>U17+(N17+Q18+S18*60)/60/24-IF(S18&gt;0,N17/60/24,0)</f>
        <v>0</v>
      </c>
      <c r="W17" s="49">
        <f>IF(H17=0,0,IF(OR(R15&gt;0,S16&gt;0),H17,H17+W15))</f>
        <v>0</v>
      </c>
    </row>
    <row r="18" spans="2:23" ht="15.75" thickBot="1">
      <c r="B18" s="196"/>
      <c r="C18" s="26"/>
      <c r="D18" s="23"/>
      <c r="E18" s="22">
        <f>IF(OR(E16="",E16="Tourende"),"",IF(ISBLANK(E19),"Tourende","Lade-/Lenk-/Ruhezeitunterbrechg."))</f>
      </c>
      <c r="F18" s="13"/>
      <c r="G18" s="14"/>
      <c r="H18" s="43"/>
      <c r="I18" s="28"/>
      <c r="J18" s="65"/>
      <c r="K18" s="65"/>
      <c r="L18" s="65"/>
      <c r="M18" s="65"/>
      <c r="N18" s="31"/>
      <c r="O18" s="220"/>
      <c r="P18" s="112"/>
      <c r="Q18" s="103"/>
      <c r="R18" s="113"/>
      <c r="S18" s="104"/>
      <c r="T18" s="118">
        <f>T17</f>
        <v>0</v>
      </c>
      <c r="U18" s="117">
        <f>U17</f>
        <v>0</v>
      </c>
      <c r="V18" s="160"/>
      <c r="W18" s="47"/>
    </row>
    <row r="19" spans="2:23" ht="15.75" thickTop="1">
      <c r="B19" s="196">
        <f t="shared" si="0"/>
        <v>7</v>
      </c>
      <c r="C19" s="35"/>
      <c r="D19" s="21">
        <f>IF(ISBLANK(E19),"",E17)</f>
      </c>
      <c r="E19" s="38"/>
      <c r="F19" s="39"/>
      <c r="G19" s="40"/>
      <c r="H19" s="42">
        <f>ROUNDUP((F19/$M$2+G19/$M$3)*60,0)</f>
        <v>0</v>
      </c>
      <c r="I19" s="41"/>
      <c r="J19" s="64"/>
      <c r="K19" s="64"/>
      <c r="L19" s="64"/>
      <c r="M19" s="164">
        <f>IF(H19=0,"",M17-I19-J19/2+K19+L19/2)</f>
      </c>
      <c r="N19" s="30">
        <f>IF(H19=0,0,IF(ISBLANK($P$2),$P$3,I19*$P$2))</f>
        <v>0</v>
      </c>
      <c r="O19" s="219"/>
      <c r="P19" s="102"/>
      <c r="Q19" s="111"/>
      <c r="R19" s="106"/>
      <c r="S19" s="114"/>
      <c r="T19" s="51">
        <f>IF(H19=0,0,U17+(N17+Q18+S18*60)/60/24-IF(S18&gt;0,N17/60/24,0))</f>
        <v>0</v>
      </c>
      <c r="U19" s="50">
        <f>T19+(H19+P19+R19*60)/60/24</f>
        <v>0</v>
      </c>
      <c r="V19" s="159">
        <f>U19+(N19+Q20+S20*60)/60/24-IF(S20&gt;0,N19/60/24,0)</f>
        <v>0</v>
      </c>
      <c r="W19" s="49">
        <f>IF(H19=0,0,IF(OR(R17&gt;0,S18&gt;0),H19,H19+W17))</f>
        <v>0</v>
      </c>
    </row>
    <row r="20" spans="2:23" ht="15.75" thickBot="1">
      <c r="B20" s="196"/>
      <c r="C20" s="26"/>
      <c r="D20" s="23"/>
      <c r="E20" s="22">
        <f>IF(OR(E18="",E18="Tourende"),"",IF(ISBLANK(E21),"Tourende","Lade-/Lenk-/Ruhezeitunterbrechg."))</f>
      </c>
      <c r="F20" s="13"/>
      <c r="G20" s="14"/>
      <c r="H20" s="43"/>
      <c r="I20" s="28"/>
      <c r="J20" s="65"/>
      <c r="K20" s="65"/>
      <c r="L20" s="65"/>
      <c r="M20" s="65"/>
      <c r="N20" s="31"/>
      <c r="O20" s="220"/>
      <c r="P20" s="112"/>
      <c r="Q20" s="103"/>
      <c r="R20" s="113"/>
      <c r="S20" s="104"/>
      <c r="T20" s="118">
        <f>T19</f>
        <v>0</v>
      </c>
      <c r="U20" s="117">
        <f>U19</f>
        <v>0</v>
      </c>
      <c r="V20" s="160"/>
      <c r="W20" s="47"/>
    </row>
    <row r="21" spans="2:23" ht="15.75" thickTop="1">
      <c r="B21" s="196">
        <f>B19+1</f>
        <v>8</v>
      </c>
      <c r="C21" s="35"/>
      <c r="D21" s="21">
        <f>IF(ISBLANK(E21),"",E19)</f>
      </c>
      <c r="E21" s="38"/>
      <c r="F21" s="39"/>
      <c r="G21" s="40"/>
      <c r="H21" s="42">
        <f>ROUNDUP((F21/$M$2+G21/$M$3)*60,0)</f>
        <v>0</v>
      </c>
      <c r="I21" s="41"/>
      <c r="J21" s="64"/>
      <c r="K21" s="64"/>
      <c r="L21" s="64"/>
      <c r="M21" s="164">
        <f>IF(H21=0,"",M19-I21-J21/2+K21+L21/2)</f>
      </c>
      <c r="N21" s="30">
        <f>IF(H21=0,0,IF(ISBLANK($P$2),$P$3,I21*$P$2))</f>
        <v>0</v>
      </c>
      <c r="O21" s="219"/>
      <c r="P21" s="102"/>
      <c r="Q21" s="111"/>
      <c r="R21" s="106"/>
      <c r="S21" s="114"/>
      <c r="T21" s="51">
        <f>IF(H21=0,0,U19+(N19+Q20+S20*60)/60/24-IF(S20&gt;0,N19/60/24,0))</f>
        <v>0</v>
      </c>
      <c r="U21" s="50">
        <f>T21+(H21+P21+R21*60)/60/24</f>
        <v>0</v>
      </c>
      <c r="V21" s="159">
        <f>U21+(N21+Q22+S22*60)/60/24-IF(S22&gt;0,N21/60/24,0)</f>
        <v>0</v>
      </c>
      <c r="W21" s="49">
        <f>IF(H21=0,0,IF(OR(R19&gt;0,S20&gt;0),H21,H21+W19))</f>
        <v>0</v>
      </c>
    </row>
    <row r="22" spans="2:23" ht="15.75" thickBot="1">
      <c r="B22" s="196"/>
      <c r="C22" s="26"/>
      <c r="D22" s="23"/>
      <c r="E22" s="22">
        <f>IF(OR(E20="",E20="Tourende"),"",IF(ISBLANK(E23),"Tourende","Lade-/Lenk-/Ruhezeitunterbrechg."))</f>
      </c>
      <c r="F22" s="13"/>
      <c r="G22" s="14"/>
      <c r="H22" s="43"/>
      <c r="I22" s="28"/>
      <c r="J22" s="65"/>
      <c r="K22" s="65"/>
      <c r="L22" s="65"/>
      <c r="M22" s="65"/>
      <c r="N22" s="31"/>
      <c r="O22" s="220"/>
      <c r="P22" s="112"/>
      <c r="Q22" s="103"/>
      <c r="R22" s="113"/>
      <c r="S22" s="104"/>
      <c r="T22" s="118">
        <f>T21</f>
        <v>0</v>
      </c>
      <c r="U22" s="117">
        <f>U21</f>
        <v>0</v>
      </c>
      <c r="V22" s="160"/>
      <c r="W22" s="47"/>
    </row>
    <row r="23" spans="2:23" ht="15.75" thickTop="1">
      <c r="B23" s="196">
        <f>B21+1</f>
        <v>9</v>
      </c>
      <c r="C23" s="35"/>
      <c r="D23" s="21">
        <f>IF(ISBLANK(E23),"",E21)</f>
      </c>
      <c r="E23" s="38"/>
      <c r="F23" s="39"/>
      <c r="G23" s="40"/>
      <c r="H23" s="42">
        <f>ROUNDUP((F23/$M$2+G23/$M$3)*60,0)</f>
        <v>0</v>
      </c>
      <c r="I23" s="41"/>
      <c r="J23" s="64"/>
      <c r="K23" s="64"/>
      <c r="L23" s="64"/>
      <c r="M23" s="164">
        <f>IF(H23=0,"",M21-I23-J23/2+K23+L23/2)</f>
      </c>
      <c r="N23" s="30">
        <f>IF(H23=0,0,IF(ISBLANK($P$2),$P$3,I23*$P$2))</f>
        <v>0</v>
      </c>
      <c r="O23" s="219"/>
      <c r="P23" s="102"/>
      <c r="Q23" s="111"/>
      <c r="R23" s="106"/>
      <c r="S23" s="114"/>
      <c r="T23" s="51">
        <f>IF(H23=0,0,U21+(N21+Q22+S22*60)/60/24-IF(S22&gt;0,N21/60/24,0))</f>
        <v>0</v>
      </c>
      <c r="U23" s="50">
        <f>T23+(H23+P23+R23*60)/60/24</f>
        <v>0</v>
      </c>
      <c r="V23" s="159">
        <f>U23+(N23+Q24+S24*60)/60/24-IF(S24&gt;0,N23/60/24,0)</f>
        <v>0</v>
      </c>
      <c r="W23" s="49">
        <f>IF(H23=0,0,IF(OR(R21&gt;0,S22&gt;0),H23,H23+W21))</f>
        <v>0</v>
      </c>
    </row>
    <row r="24" spans="2:23" ht="15.75" thickBot="1">
      <c r="B24" s="196"/>
      <c r="C24" s="26"/>
      <c r="D24" s="23"/>
      <c r="E24" s="22">
        <f>IF(OR(E22="",E22="Tourende"),"",IF(ISBLANK(E25),"Tourende","Lade-/Lenk-/Ruhezeitunterbrechg."))</f>
      </c>
      <c r="F24" s="13"/>
      <c r="G24" s="14"/>
      <c r="H24" s="43"/>
      <c r="I24" s="28"/>
      <c r="J24" s="65"/>
      <c r="K24" s="65"/>
      <c r="L24" s="65"/>
      <c r="M24" s="65"/>
      <c r="N24" s="31"/>
      <c r="O24" s="220"/>
      <c r="P24" s="112"/>
      <c r="Q24" s="103"/>
      <c r="R24" s="113"/>
      <c r="S24" s="104"/>
      <c r="T24" s="118">
        <f>T23</f>
        <v>0</v>
      </c>
      <c r="U24" s="117">
        <f>U23</f>
        <v>0</v>
      </c>
      <c r="V24" s="160"/>
      <c r="W24" s="47"/>
    </row>
    <row r="25" spans="2:23" ht="15.75" thickTop="1">
      <c r="B25" s="193">
        <f>B23+1</f>
        <v>10</v>
      </c>
      <c r="C25" s="36"/>
      <c r="D25" s="21">
        <f>IF(ISBLANK(E25),"",E23)</f>
      </c>
      <c r="E25" s="38"/>
      <c r="F25" s="39"/>
      <c r="G25" s="40"/>
      <c r="H25" s="42">
        <f>ROUNDUP((F25/$M$2+G25/$M$3)*60,0)</f>
        <v>0</v>
      </c>
      <c r="I25" s="41"/>
      <c r="J25" s="64"/>
      <c r="K25" s="64"/>
      <c r="L25" s="64"/>
      <c r="M25" s="164">
        <f>IF(H25=0,"",M23-I25-J25/2+K25+L25/2)</f>
      </c>
      <c r="N25" s="30">
        <f>IF(H25=0,0,IF(ISBLANK($P$2),$P$3,I25*$P$2))</f>
        <v>0</v>
      </c>
      <c r="O25" s="219"/>
      <c r="P25" s="102"/>
      <c r="Q25" s="111"/>
      <c r="R25" s="106"/>
      <c r="S25" s="114"/>
      <c r="T25" s="51">
        <f>IF(H25=0,0,U23+(N23+Q24+S24*60)/60/24-IF(S24&gt;0,N23/60/24,0))</f>
        <v>0</v>
      </c>
      <c r="U25" s="50">
        <f>T25+(H25+P25+R25*60)/60/24</f>
        <v>0</v>
      </c>
      <c r="V25" s="159">
        <f>U25+(N25+Q26+S26*60)/60/24-IF(S26&gt;0,N25/60/24,0)</f>
        <v>0</v>
      </c>
      <c r="W25" s="49">
        <f>IF(H25=0,0,IF(OR(R23&gt;0,S24&gt;0),H25,H25+W23))</f>
        <v>0</v>
      </c>
    </row>
    <row r="26" spans="2:23" ht="15.75" thickBot="1">
      <c r="B26" s="194"/>
      <c r="C26" s="27"/>
      <c r="D26" s="24"/>
      <c r="E26" s="25">
        <f>IF(OR(E24="",E24="Tourende"),"",IF(ISBLANK(E27),"Tourende","Lade-/Lenk-/Ruhezeitunterbrechg."))</f>
      </c>
      <c r="F26" s="15"/>
      <c r="G26" s="16"/>
      <c r="H26" s="44"/>
      <c r="I26" s="29"/>
      <c r="J26" s="66"/>
      <c r="K26" s="66"/>
      <c r="L26" s="66"/>
      <c r="M26" s="66"/>
      <c r="N26" s="32"/>
      <c r="O26" s="245"/>
      <c r="P26" s="115"/>
      <c r="Q26" s="105"/>
      <c r="R26" s="116"/>
      <c r="S26" s="107"/>
      <c r="T26" s="119">
        <f>T25</f>
        <v>0</v>
      </c>
      <c r="U26" s="120">
        <f>U25</f>
        <v>0</v>
      </c>
      <c r="V26" s="161"/>
      <c r="W26" s="52"/>
    </row>
    <row r="27" ht="7.5" customHeight="1"/>
    <row r="28" spans="3:20" ht="15">
      <c r="C28" s="60" t="s">
        <v>9</v>
      </c>
      <c r="D28" s="53"/>
      <c r="E28" s="57">
        <f>SUM(F7:G26)</f>
        <v>0</v>
      </c>
      <c r="F28" s="6"/>
      <c r="I28" s="248" t="s">
        <v>55</v>
      </c>
      <c r="J28" s="248"/>
      <c r="K28" s="249" t="s">
        <v>55</v>
      </c>
      <c r="L28" s="250"/>
      <c r="M28" s="142"/>
      <c r="T28" s="17"/>
    </row>
    <row r="29" spans="3:13" ht="15">
      <c r="C29" s="60" t="s">
        <v>10</v>
      </c>
      <c r="D29" s="54"/>
      <c r="E29" s="57">
        <f>SUM(H7:H26)</f>
        <v>0</v>
      </c>
      <c r="F29" s="6"/>
      <c r="I29" s="243" t="s">
        <v>53</v>
      </c>
      <c r="J29" s="243"/>
      <c r="K29" s="246" t="s">
        <v>54</v>
      </c>
      <c r="L29" s="247"/>
      <c r="M29" s="136"/>
    </row>
    <row r="30" spans="3:12" ht="15">
      <c r="C30" s="61" t="s">
        <v>11</v>
      </c>
      <c r="D30" s="55"/>
      <c r="E30" s="58">
        <f>E29/60/24</f>
        <v>0</v>
      </c>
      <c r="F30" s="33"/>
      <c r="I30" s="244" t="s">
        <v>21</v>
      </c>
      <c r="J30" s="244"/>
      <c r="K30" s="241" t="s">
        <v>21</v>
      </c>
      <c r="L30" s="242"/>
    </row>
    <row r="31" spans="3:13" ht="15">
      <c r="C31" s="60" t="s">
        <v>19</v>
      </c>
      <c r="D31" s="56"/>
      <c r="E31" s="59">
        <f>IF(E29=0,0,E28/E29*60)</f>
        <v>0</v>
      </c>
      <c r="F31" s="6"/>
      <c r="G31" s="18"/>
      <c r="I31" s="74">
        <f>SUM(I7:I26)</f>
        <v>0</v>
      </c>
      <c r="J31" s="74">
        <f>SUM(J7:J26)</f>
        <v>0</v>
      </c>
      <c r="K31" s="74">
        <f>SUM(K7:K26)</f>
        <v>0</v>
      </c>
      <c r="L31" s="74">
        <f>SUM(L7:L26)</f>
        <v>0</v>
      </c>
      <c r="M31" s="142"/>
    </row>
    <row r="32" spans="2:13" ht="15" customHeight="1">
      <c r="B32" s="19"/>
      <c r="C32" s="60" t="s">
        <v>20</v>
      </c>
      <c r="D32" s="56"/>
      <c r="E32" s="62">
        <f>MAX(U7:U26)-T7</f>
        <v>0</v>
      </c>
      <c r="F32" s="19"/>
      <c r="G32" s="18"/>
      <c r="I32" s="145"/>
      <c r="J32" s="145"/>
      <c r="K32" s="137"/>
      <c r="L32" s="137"/>
      <c r="M32" s="137"/>
    </row>
    <row r="33" spans="2:23" s="19" customFormat="1" ht="15" customHeight="1">
      <c r="B33"/>
      <c r="C33" s="20" t="s">
        <v>12</v>
      </c>
      <c r="D33"/>
      <c r="E33"/>
      <c r="F33"/>
      <c r="G33" s="34"/>
      <c r="I33" s="68"/>
      <c r="J33" s="68"/>
      <c r="K33" s="68"/>
      <c r="L33" s="68"/>
      <c r="M33" s="68"/>
      <c r="W33" s="48"/>
    </row>
    <row r="34" spans="3:23" ht="15.75" customHeight="1">
      <c r="C34" s="84" t="s">
        <v>32</v>
      </c>
      <c r="D34" s="85"/>
      <c r="E34" s="86" t="s">
        <v>33</v>
      </c>
      <c r="F34" s="87" t="s">
        <v>34</v>
      </c>
      <c r="G34" s="87" t="s">
        <v>35</v>
      </c>
      <c r="H34" s="235" t="s">
        <v>36</v>
      </c>
      <c r="I34" s="236"/>
      <c r="J34"/>
      <c r="K34" s="166"/>
      <c r="L34" s="166"/>
      <c r="M34" s="166"/>
      <c r="N34" s="166"/>
      <c r="O34" s="166"/>
      <c r="P34" s="166"/>
      <c r="Q34" s="166"/>
      <c r="R34" s="46"/>
      <c r="S34" s="46"/>
      <c r="W34"/>
    </row>
    <row r="35" spans="3:23" ht="15" customHeight="1">
      <c r="C35" s="88" t="s">
        <v>37</v>
      </c>
      <c r="D35" s="89"/>
      <c r="E35" s="98">
        <v>165</v>
      </c>
      <c r="F35" s="126">
        <f>IF(ISBLANK(E7),0,INT(D3)-INT(D2)+1)</f>
        <v>0</v>
      </c>
      <c r="G35" s="127"/>
      <c r="H35" s="237">
        <f>E35*F35</f>
        <v>0</v>
      </c>
      <c r="I35" s="238"/>
      <c r="J35"/>
      <c r="K35" s="167"/>
      <c r="L35" s="167"/>
      <c r="M35" s="167"/>
      <c r="N35" s="167"/>
      <c r="O35" s="167"/>
      <c r="P35" s="167"/>
      <c r="Q35" s="167"/>
      <c r="R35" s="46"/>
      <c r="S35" s="46"/>
      <c r="W35"/>
    </row>
    <row r="36" spans="3:23" ht="15" customHeight="1">
      <c r="C36" s="90" t="s">
        <v>38</v>
      </c>
      <c r="D36" s="91"/>
      <c r="E36" s="99">
        <v>65</v>
      </c>
      <c r="F36" s="128">
        <f>F35</f>
        <v>0</v>
      </c>
      <c r="G36" s="127"/>
      <c r="H36" s="237">
        <f>E36*F36</f>
        <v>0</v>
      </c>
      <c r="I36" s="238"/>
      <c r="J36"/>
      <c r="K36" s="168"/>
      <c r="L36" s="168"/>
      <c r="M36" s="168"/>
      <c r="N36" s="168"/>
      <c r="O36" s="168"/>
      <c r="P36" s="168"/>
      <c r="Q36" s="168"/>
      <c r="R36" s="46"/>
      <c r="S36" s="46"/>
      <c r="W36"/>
    </row>
    <row r="37" spans="3:23" ht="15" customHeight="1">
      <c r="C37" s="90" t="s">
        <v>39</v>
      </c>
      <c r="D37" s="91"/>
      <c r="E37" s="100">
        <v>0.92</v>
      </c>
      <c r="F37" s="129"/>
      <c r="G37" s="127">
        <f>E28</f>
        <v>0</v>
      </c>
      <c r="H37" s="237">
        <f>E37*G37</f>
        <v>0</v>
      </c>
      <c r="I37" s="238"/>
      <c r="J37"/>
      <c r="K37" s="166"/>
      <c r="L37" s="166"/>
      <c r="M37" s="166"/>
      <c r="N37" s="166"/>
      <c r="O37" s="166"/>
      <c r="P37" s="166"/>
      <c r="Q37" s="166"/>
      <c r="R37" s="46"/>
      <c r="S37" s="46"/>
      <c r="W37"/>
    </row>
    <row r="38" spans="3:23" ht="15" customHeight="1">
      <c r="C38" s="121" t="s">
        <v>44</v>
      </c>
      <c r="D38" s="122"/>
      <c r="E38" s="123">
        <v>0.183</v>
      </c>
      <c r="F38" s="129"/>
      <c r="G38" s="127">
        <f>E28</f>
        <v>0</v>
      </c>
      <c r="H38" s="233"/>
      <c r="I38" s="233"/>
      <c r="J38"/>
      <c r="K38" s="167"/>
      <c r="L38" s="167"/>
      <c r="M38" s="167"/>
      <c r="N38" s="167"/>
      <c r="O38" s="167"/>
      <c r="P38" s="167"/>
      <c r="Q38" s="167"/>
      <c r="R38" s="165"/>
      <c r="S38" s="165"/>
      <c r="W38"/>
    </row>
    <row r="39" spans="3:23" ht="15.75" customHeight="1" thickBot="1">
      <c r="C39" s="124" t="s">
        <v>46</v>
      </c>
      <c r="D39" s="125"/>
      <c r="E39" s="134">
        <v>95</v>
      </c>
      <c r="F39" s="130"/>
      <c r="G39" s="131">
        <f>ROUND(G38*E39/100,0)</f>
        <v>0</v>
      </c>
      <c r="H39" s="234">
        <f>E38*G39</f>
        <v>0</v>
      </c>
      <c r="I39" s="234"/>
      <c r="J39"/>
      <c r="K39" s="169"/>
      <c r="L39" s="169"/>
      <c r="M39" s="169"/>
      <c r="N39" s="169"/>
      <c r="O39" s="169"/>
      <c r="P39" s="169"/>
      <c r="Q39" s="169"/>
      <c r="R39" s="165"/>
      <c r="S39" s="165"/>
      <c r="W39"/>
    </row>
    <row r="40" spans="3:23" ht="15.75" thickTop="1">
      <c r="C40" s="95" t="s">
        <v>40</v>
      </c>
      <c r="D40" s="96"/>
      <c r="E40" s="135"/>
      <c r="F40" s="132"/>
      <c r="G40" s="133"/>
      <c r="H40" s="251">
        <f>SUM(H35:H39)</f>
        <v>0</v>
      </c>
      <c r="I40" s="252"/>
      <c r="J40"/>
      <c r="K40" s="166"/>
      <c r="L40" s="166"/>
      <c r="M40" s="166"/>
      <c r="N40" s="166"/>
      <c r="O40" s="166"/>
      <c r="P40" s="166"/>
      <c r="Q40" s="166"/>
      <c r="R40" s="46"/>
      <c r="S40" s="46"/>
      <c r="W40"/>
    </row>
    <row r="41" spans="3:23" ht="15">
      <c r="C41" s="90" t="s">
        <v>45</v>
      </c>
      <c r="D41" s="91"/>
      <c r="E41" s="170">
        <f>10/3</f>
        <v>3.3333333333333335</v>
      </c>
      <c r="F41" s="129"/>
      <c r="G41" s="127"/>
      <c r="H41" s="237">
        <f>ROUND((H40*E41)/100,2)</f>
        <v>0</v>
      </c>
      <c r="I41" s="238"/>
      <c r="J41"/>
      <c r="K41"/>
      <c r="L41"/>
      <c r="M41"/>
      <c r="R41" s="46"/>
      <c r="S41" s="46"/>
      <c r="W41"/>
    </row>
    <row r="42" spans="3:23" ht="15">
      <c r="C42" s="92" t="s">
        <v>41</v>
      </c>
      <c r="D42" s="93"/>
      <c r="E42" s="101"/>
      <c r="F42" s="94"/>
      <c r="G42" s="97"/>
      <c r="H42" s="229">
        <f>H40+H41</f>
        <v>0</v>
      </c>
      <c r="I42" s="230"/>
      <c r="J42"/>
      <c r="K42"/>
      <c r="L42"/>
      <c r="M42"/>
      <c r="R42" s="46"/>
      <c r="S42" s="46"/>
      <c r="W42"/>
    </row>
  </sheetData>
  <sheetProtection sheet="1" objects="1" scenarios="1" selectLockedCells="1"/>
  <mergeCells count="55">
    <mergeCell ref="K29:L29"/>
    <mergeCell ref="I28:J28"/>
    <mergeCell ref="K28:L28"/>
    <mergeCell ref="H40:I40"/>
    <mergeCell ref="H41:I41"/>
    <mergeCell ref="H42:I42"/>
    <mergeCell ref="P5:Q5"/>
    <mergeCell ref="H38:I38"/>
    <mergeCell ref="H39:I39"/>
    <mergeCell ref="H34:I34"/>
    <mergeCell ref="H35:I35"/>
    <mergeCell ref="H36:I36"/>
    <mergeCell ref="H37:I37"/>
    <mergeCell ref="K5:L5"/>
    <mergeCell ref="K30:L30"/>
    <mergeCell ref="I29:J29"/>
    <mergeCell ref="I30:J30"/>
    <mergeCell ref="O25:O26"/>
    <mergeCell ref="O19:O20"/>
    <mergeCell ref="O21:O22"/>
    <mergeCell ref="O23:O24"/>
    <mergeCell ref="X2:Z2"/>
    <mergeCell ref="O15:O16"/>
    <mergeCell ref="O17:O18"/>
    <mergeCell ref="O5:O6"/>
    <mergeCell ref="O7:O8"/>
    <mergeCell ref="O9:O10"/>
    <mergeCell ref="O11:O12"/>
    <mergeCell ref="R5:S5"/>
    <mergeCell ref="O13:O14"/>
    <mergeCell ref="B1:C1"/>
    <mergeCell ref="B2:C2"/>
    <mergeCell ref="B3:C3"/>
    <mergeCell ref="W5:W6"/>
    <mergeCell ref="B5:B6"/>
    <mergeCell ref="C5:C6"/>
    <mergeCell ref="D5:E6"/>
    <mergeCell ref="T5:T6"/>
    <mergeCell ref="U5:U6"/>
    <mergeCell ref="I5:J5"/>
    <mergeCell ref="M2:N2"/>
    <mergeCell ref="M3:N3"/>
    <mergeCell ref="G3:H3"/>
    <mergeCell ref="P2:Q2"/>
    <mergeCell ref="P3:Q3"/>
    <mergeCell ref="B25:B26"/>
    <mergeCell ref="B7:B8"/>
    <mergeCell ref="B9:B10"/>
    <mergeCell ref="B11:B12"/>
    <mergeCell ref="B19:B20"/>
    <mergeCell ref="B13:B14"/>
    <mergeCell ref="B15:B16"/>
    <mergeCell ref="B17:B18"/>
    <mergeCell ref="B21:B22"/>
    <mergeCell ref="B23:B24"/>
  </mergeCells>
  <conditionalFormatting sqref="U7">
    <cfRule type="expression" priority="48" dxfId="40">
      <formula>AND(U9=0,H7&gt;0)</formula>
    </cfRule>
  </conditionalFormatting>
  <conditionalFormatting sqref="U9">
    <cfRule type="expression" priority="47" dxfId="40">
      <formula>AND(U11=0,H9&gt;0)</formula>
    </cfRule>
  </conditionalFormatting>
  <conditionalFormatting sqref="U11">
    <cfRule type="expression" priority="46" dxfId="40">
      <formula>AND(U13=0,H11&gt;0)</formula>
    </cfRule>
  </conditionalFormatting>
  <conditionalFormatting sqref="U13">
    <cfRule type="expression" priority="45" dxfId="40">
      <formula>AND(U15=0,H13&gt;0)</formula>
    </cfRule>
  </conditionalFormatting>
  <conditionalFormatting sqref="U15">
    <cfRule type="expression" priority="44" dxfId="40">
      <formula>AND(U17=0,H15&gt;0)</formula>
    </cfRule>
  </conditionalFormatting>
  <conditionalFormatting sqref="U17">
    <cfRule type="expression" priority="43" dxfId="40">
      <formula>AND(U19=0,H17&gt;0)</formula>
    </cfRule>
  </conditionalFormatting>
  <conditionalFormatting sqref="U19">
    <cfRule type="expression" priority="42" dxfId="40">
      <formula>AND(U21=0,H19&gt;0)</formula>
    </cfRule>
  </conditionalFormatting>
  <conditionalFormatting sqref="U21">
    <cfRule type="expression" priority="41" dxfId="40">
      <formula>AND(U23=0,H21&gt;0)</formula>
    </cfRule>
  </conditionalFormatting>
  <conditionalFormatting sqref="U23">
    <cfRule type="expression" priority="40" dxfId="40">
      <formula>AND(U25=0,H23&gt;0)</formula>
    </cfRule>
  </conditionalFormatting>
  <conditionalFormatting sqref="U25">
    <cfRule type="expression" priority="39" dxfId="40">
      <formula>AND(U27=0,H25&gt;0)</formula>
    </cfRule>
  </conditionalFormatting>
  <conditionalFormatting sqref="M19">
    <cfRule type="expression" priority="22" dxfId="40">
      <formula>AND(M19&gt;$G$2,M19&lt;&gt;"")</formula>
    </cfRule>
  </conditionalFormatting>
  <conditionalFormatting sqref="M7">
    <cfRule type="expression" priority="18" dxfId="40">
      <formula>AND(M7&gt;$G$2,M7&lt;&gt;"")</formula>
    </cfRule>
  </conditionalFormatting>
  <conditionalFormatting sqref="M9">
    <cfRule type="expression" priority="17" dxfId="40">
      <formula>AND(M9&gt;$G$2,M9&lt;&gt;"")</formula>
    </cfRule>
  </conditionalFormatting>
  <conditionalFormatting sqref="M11">
    <cfRule type="expression" priority="16" dxfId="40">
      <formula>AND(M11&gt;$G$2,M11&lt;&gt;"")</formula>
    </cfRule>
  </conditionalFormatting>
  <conditionalFormatting sqref="M13">
    <cfRule type="expression" priority="15" dxfId="40">
      <formula>AND(M13&gt;$G$2,M13&lt;&gt;"")</formula>
    </cfRule>
  </conditionalFormatting>
  <conditionalFormatting sqref="M15">
    <cfRule type="expression" priority="14" dxfId="40">
      <formula>AND(M15&gt;$G$2,M15&lt;&gt;"")</formula>
    </cfRule>
  </conditionalFormatting>
  <conditionalFormatting sqref="M17">
    <cfRule type="expression" priority="13" dxfId="40">
      <formula>AND(M17&gt;$G$2,M17&lt;&gt;"")</formula>
    </cfRule>
  </conditionalFormatting>
  <conditionalFormatting sqref="M21">
    <cfRule type="expression" priority="12" dxfId="40">
      <formula>AND(M21&gt;$G$2,M21&lt;&gt;"")</formula>
    </cfRule>
  </conditionalFormatting>
  <conditionalFormatting sqref="M23">
    <cfRule type="expression" priority="11" dxfId="40">
      <formula>AND(M23&gt;$G$2,M23&lt;&gt;"")</formula>
    </cfRule>
  </conditionalFormatting>
  <conditionalFormatting sqref="M25">
    <cfRule type="expression" priority="10" dxfId="40">
      <formula>AND(M25&gt;$G$2,M25&lt;&gt;"")</formula>
    </cfRule>
  </conditionalFormatting>
  <hyperlinks>
    <hyperlink ref="X2" r:id="rId1" display="https://www.viamichelin.de/"/>
  </hyperlinks>
  <printOptions horizontalCentered="1"/>
  <pageMargins left="0.5905511811023623" right="0.5905511811023623" top="0.984251968503937" bottom="0.5905511811023623" header="0.7086614173228347" footer="0.31496062992125984"/>
  <pageSetup fitToHeight="1" fitToWidth="1" horizontalDpi="600" verticalDpi="600" orientation="landscape" paperSize="9" scale="71" r:id="rId3"/>
  <headerFooter>
    <oddHeader>&amp;L&amp;"-,Fett"&amp;12EDV-Unterstützung für eine Tourenplanung</oddHeader>
    <oddFooter>&amp;L&amp;"-,Kursiv"&amp;9Dozent:  Uwe Wegewitz  &amp;"-,Fett"+&amp;"-,Kursiv"  www.wegewitz-web.de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2"/>
  <sheetViews>
    <sheetView showZeros="0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1.7109375" style="0" customWidth="1"/>
    <col min="2" max="2" width="2.7109375" style="0" customWidth="1"/>
    <col min="3" max="3" width="10.57421875" style="0" customWidth="1"/>
    <col min="4" max="4" width="18.140625" style="0" customWidth="1"/>
    <col min="5" max="5" width="18.28125" style="0" customWidth="1"/>
    <col min="6" max="6" width="8.8515625" style="0" bestFit="1" customWidth="1"/>
    <col min="8" max="8" width="7.8515625" style="0" customWidth="1"/>
    <col min="9" max="13" width="5.7109375" style="63" customWidth="1"/>
    <col min="14" max="14" width="8.28125" style="0" customWidth="1"/>
    <col min="15" max="15" width="19.421875" style="0" customWidth="1"/>
    <col min="16" max="21" width="7.28125" style="0" customWidth="1"/>
    <col min="22" max="22" width="7.28125" style="46" customWidth="1"/>
  </cols>
  <sheetData>
    <row r="1" spans="2:28" s="4" customFormat="1" ht="26.25" customHeight="1">
      <c r="B1" s="197"/>
      <c r="C1" s="197"/>
      <c r="D1" s="154" t="s">
        <v>24</v>
      </c>
      <c r="E1" s="154" t="s">
        <v>25</v>
      </c>
      <c r="F1" s="81" t="s">
        <v>28</v>
      </c>
      <c r="G1" s="81" t="s">
        <v>56</v>
      </c>
      <c r="H1" s="81" t="s">
        <v>58</v>
      </c>
      <c r="J1" s="67"/>
      <c r="K1" s="2" t="s">
        <v>57</v>
      </c>
      <c r="L1" s="67"/>
      <c r="O1" s="146"/>
      <c r="P1" s="152" t="s">
        <v>48</v>
      </c>
      <c r="R1" s="45"/>
      <c r="S1" s="45"/>
      <c r="T1" s="45"/>
      <c r="U1" s="45"/>
      <c r="V1" s="45"/>
      <c r="W1" s="82" t="s">
        <v>31</v>
      </c>
      <c r="X1" s="190"/>
      <c r="Y1" s="190"/>
      <c r="Z1" s="190"/>
      <c r="AA1" s="45"/>
      <c r="AB1" s="45"/>
    </row>
    <row r="2" spans="2:28" s="4" customFormat="1" ht="15.75">
      <c r="B2" s="198" t="s">
        <v>26</v>
      </c>
      <c r="C2" s="198"/>
      <c r="D2" s="156">
        <f>MAX(Tour1!V7:V26)</f>
        <v>43493.291666666664</v>
      </c>
      <c r="E2" s="157">
        <f>D2</f>
        <v>43493.291666666664</v>
      </c>
      <c r="F2" s="76">
        <f>D2</f>
        <v>43493.291666666664</v>
      </c>
      <c r="G2" s="79">
        <v>12</v>
      </c>
      <c r="H2" s="79"/>
      <c r="L2" s="153" t="s">
        <v>16</v>
      </c>
      <c r="M2" s="213">
        <v>80</v>
      </c>
      <c r="N2" s="213"/>
      <c r="O2" s="72" t="s">
        <v>15</v>
      </c>
      <c r="P2" s="216"/>
      <c r="Q2" s="216"/>
      <c r="R2" s="188"/>
      <c r="S2" s="189"/>
      <c r="T2" s="45"/>
      <c r="U2" s="45"/>
      <c r="V2" s="83"/>
      <c r="W2" s="253" t="s">
        <v>29</v>
      </c>
      <c r="X2" s="218"/>
      <c r="Y2" s="218"/>
      <c r="Z2" s="45"/>
      <c r="AA2" s="45"/>
      <c r="AB2" s="45"/>
    </row>
    <row r="3" spans="2:28" s="4" customFormat="1" ht="15" customHeight="1">
      <c r="B3" s="198" t="s">
        <v>27</v>
      </c>
      <c r="C3" s="198"/>
      <c r="D3" s="78">
        <f>MAX(U7:U26)</f>
        <v>43493.291666666664</v>
      </c>
      <c r="E3" s="71">
        <f>MAX(U7:U26)</f>
        <v>43493.291666666664</v>
      </c>
      <c r="F3" s="77">
        <f>D3</f>
        <v>43493.291666666664</v>
      </c>
      <c r="G3" s="214" t="str">
        <f>IF(OR(MIN(M7:M26)&lt;0,MAX(M7:M26)&gt;G2),"FEHLER","Plätze evtl. frei")</f>
        <v>Plätze evtl. frei</v>
      </c>
      <c r="H3" s="215"/>
      <c r="L3" s="153" t="s">
        <v>17</v>
      </c>
      <c r="M3" s="213">
        <v>60</v>
      </c>
      <c r="N3" s="213"/>
      <c r="O3" s="73" t="s">
        <v>47</v>
      </c>
      <c r="P3" s="216">
        <v>10</v>
      </c>
      <c r="Q3" s="216"/>
      <c r="R3" s="188"/>
      <c r="S3" s="189"/>
      <c r="T3" s="45"/>
      <c r="U3" s="45"/>
      <c r="V3" s="83"/>
      <c r="W3" s="45"/>
      <c r="X3" s="45"/>
      <c r="Y3" s="45"/>
      <c r="Z3" s="45"/>
      <c r="AA3" s="45"/>
      <c r="AB3" s="45"/>
    </row>
    <row r="4" spans="2:28" ht="9.75" customHeight="1" thickBot="1">
      <c r="B4" s="5"/>
      <c r="C4" s="1"/>
      <c r="D4" s="3"/>
      <c r="E4" s="6"/>
      <c r="F4" s="6"/>
      <c r="G4" s="6"/>
      <c r="H4" s="6"/>
      <c r="I4" s="67"/>
      <c r="J4" s="67"/>
      <c r="K4" s="67"/>
      <c r="L4" s="67"/>
      <c r="M4" s="67"/>
      <c r="R4" s="46"/>
      <c r="S4" s="46"/>
      <c r="T4" s="46"/>
      <c r="U4" s="46"/>
      <c r="W4" s="46"/>
      <c r="X4" s="46"/>
      <c r="Y4" s="46"/>
      <c r="Z4" s="46"/>
      <c r="AA4" s="46"/>
      <c r="AB4" s="46"/>
    </row>
    <row r="5" spans="2:23" s="9" customFormat="1" ht="15" customHeight="1">
      <c r="B5" s="201" t="s">
        <v>1</v>
      </c>
      <c r="C5" s="203" t="s">
        <v>2</v>
      </c>
      <c r="D5" s="205" t="s">
        <v>3</v>
      </c>
      <c r="E5" s="203"/>
      <c r="F5" s="7" t="s">
        <v>13</v>
      </c>
      <c r="G5" s="8" t="s">
        <v>0</v>
      </c>
      <c r="H5" s="7" t="s">
        <v>4</v>
      </c>
      <c r="I5" s="211" t="s">
        <v>50</v>
      </c>
      <c r="J5" s="212"/>
      <c r="K5" s="239" t="s">
        <v>49</v>
      </c>
      <c r="L5" s="240"/>
      <c r="M5" s="143" t="s">
        <v>51</v>
      </c>
      <c r="N5" s="8" t="s">
        <v>5</v>
      </c>
      <c r="O5" s="221" t="s">
        <v>30</v>
      </c>
      <c r="P5" s="231" t="s">
        <v>42</v>
      </c>
      <c r="Q5" s="232"/>
      <c r="R5" s="226" t="s">
        <v>43</v>
      </c>
      <c r="S5" s="227"/>
      <c r="T5" s="207" t="s">
        <v>6</v>
      </c>
      <c r="U5" s="209" t="s">
        <v>7</v>
      </c>
      <c r="V5" s="199" t="s">
        <v>18</v>
      </c>
      <c r="W5" s="155"/>
    </row>
    <row r="6" spans="2:22" s="9" customFormat="1" ht="15" customHeight="1" thickBot="1">
      <c r="B6" s="202"/>
      <c r="C6" s="204"/>
      <c r="D6" s="206"/>
      <c r="E6" s="204"/>
      <c r="F6" s="10" t="s">
        <v>14</v>
      </c>
      <c r="G6" s="11" t="s">
        <v>14</v>
      </c>
      <c r="H6" s="10" t="s">
        <v>8</v>
      </c>
      <c r="I6" s="140" t="s">
        <v>22</v>
      </c>
      <c r="J6" s="141" t="s">
        <v>23</v>
      </c>
      <c r="K6" s="138" t="s">
        <v>22</v>
      </c>
      <c r="L6" s="139" t="s">
        <v>23</v>
      </c>
      <c r="M6" s="144" t="s">
        <v>52</v>
      </c>
      <c r="N6" s="12" t="s">
        <v>8</v>
      </c>
      <c r="O6" s="222"/>
      <c r="P6" s="108" t="s">
        <v>35</v>
      </c>
      <c r="Q6" s="109" t="s">
        <v>1</v>
      </c>
      <c r="R6" s="109" t="s">
        <v>35</v>
      </c>
      <c r="S6" s="110" t="s">
        <v>1</v>
      </c>
      <c r="T6" s="208"/>
      <c r="U6" s="210"/>
      <c r="V6" s="200"/>
    </row>
    <row r="7" spans="2:22" ht="15.75" thickTop="1">
      <c r="B7" s="195">
        <v>1</v>
      </c>
      <c r="C7" s="35"/>
      <c r="D7" s="37"/>
      <c r="E7" s="38"/>
      <c r="F7" s="39"/>
      <c r="G7" s="40"/>
      <c r="H7" s="42">
        <f>ROUNDUP((F7/$M$2+G7/$M$3)*60,0)</f>
        <v>0</v>
      </c>
      <c r="I7" s="41"/>
      <c r="J7" s="64"/>
      <c r="K7" s="64"/>
      <c r="L7" s="64"/>
      <c r="M7" s="64">
        <f>IF(H7=0,"",G2-H2-I7-J7/2+K7+L7/2)</f>
      </c>
      <c r="N7" s="30">
        <f>IF(H7=0,0,IF(ISBLANK($P$2),$P$3,SUM(I7:L7)*$P$2))</f>
        <v>0</v>
      </c>
      <c r="O7" s="223"/>
      <c r="P7" s="102"/>
      <c r="Q7" s="111"/>
      <c r="R7" s="106"/>
      <c r="S7" s="114"/>
      <c r="T7" s="69">
        <f>E2</f>
        <v>43493.291666666664</v>
      </c>
      <c r="U7" s="50">
        <f>T7+(H7+P7+R7*60)/60/24</f>
        <v>43493.291666666664</v>
      </c>
      <c r="V7" s="49">
        <f>MAX(Tour1!W7:W26)+H7</f>
        <v>0</v>
      </c>
    </row>
    <row r="8" spans="2:22" ht="15.75" thickBot="1">
      <c r="B8" s="196"/>
      <c r="C8" s="26"/>
      <c r="D8" s="23"/>
      <c r="E8" s="22" t="str">
        <f>IF(ISBLANK(E9),"Tourende","Lade-/Lenk-/Ruhezeitunterbrechg.")</f>
        <v>Tourende</v>
      </c>
      <c r="F8" s="13"/>
      <c r="G8" s="14"/>
      <c r="H8" s="43"/>
      <c r="I8" s="28"/>
      <c r="J8" s="65"/>
      <c r="K8" s="65"/>
      <c r="L8" s="65"/>
      <c r="M8" s="65"/>
      <c r="N8" s="31"/>
      <c r="O8" s="220"/>
      <c r="P8" s="112"/>
      <c r="Q8" s="103"/>
      <c r="R8" s="113"/>
      <c r="S8" s="104"/>
      <c r="T8" s="118">
        <f>T7</f>
        <v>43493.291666666664</v>
      </c>
      <c r="U8" s="117">
        <f>U7</f>
        <v>43493.291666666664</v>
      </c>
      <c r="V8" s="47"/>
    </row>
    <row r="9" spans="2:22" ht="15.75" thickTop="1">
      <c r="B9" s="196">
        <f>B7+1</f>
        <v>2</v>
      </c>
      <c r="C9" s="35"/>
      <c r="D9" s="21">
        <f>IF(ISBLANK(E9),"",E7)</f>
      </c>
      <c r="E9" s="38"/>
      <c r="F9" s="39"/>
      <c r="G9" s="149"/>
      <c r="H9" s="42">
        <f>ROUNDUP((F9/$M$2+G9/$M$3)*60,0)</f>
        <v>0</v>
      </c>
      <c r="I9" s="41"/>
      <c r="J9" s="64"/>
      <c r="K9" s="64"/>
      <c r="L9" s="64"/>
      <c r="M9" s="64">
        <f>IF(H9=0,"",M7-I9-J9/2+K9+L9/2)</f>
      </c>
      <c r="N9" s="30">
        <f>IF(H9=0,0,IF(ISBLANK($P$2),$P$3,I9*$P$2))</f>
        <v>0</v>
      </c>
      <c r="O9" s="219"/>
      <c r="P9" s="102"/>
      <c r="Q9" s="111"/>
      <c r="R9" s="106"/>
      <c r="S9" s="114"/>
      <c r="T9" s="51">
        <f>IF(H9=0,0,U7+(N7+Q8+S8*60)/60/24-IF(S8&gt;0,N7/60/24,0))</f>
        <v>0</v>
      </c>
      <c r="U9" s="50">
        <f>T9+(H9+P9+R9*60)/60/24</f>
        <v>0</v>
      </c>
      <c r="V9" s="49">
        <f>IF(H9=0,0,IF(OR(R7&gt;0,S8&gt;0),H9,H9+V7))</f>
        <v>0</v>
      </c>
    </row>
    <row r="10" spans="2:22" ht="15.75" thickBot="1">
      <c r="B10" s="196"/>
      <c r="C10" s="26"/>
      <c r="D10" s="23"/>
      <c r="E10" s="22">
        <f>IF(OR(E8="",E8="Tourende"),"",IF(ISBLANK(E11),"Tourende","Lade-/Lenk-/Ruhezeitunterbrechg."))</f>
      </c>
      <c r="F10" s="13"/>
      <c r="G10" s="14"/>
      <c r="H10" s="43"/>
      <c r="I10" s="28"/>
      <c r="J10" s="65"/>
      <c r="K10" s="65"/>
      <c r="L10" s="65"/>
      <c r="M10" s="65"/>
      <c r="N10" s="31"/>
      <c r="O10" s="220"/>
      <c r="P10" s="112"/>
      <c r="Q10" s="103"/>
      <c r="R10" s="113"/>
      <c r="S10" s="104"/>
      <c r="T10" s="118">
        <f>T9</f>
        <v>0</v>
      </c>
      <c r="U10" s="117">
        <f>U9</f>
        <v>0</v>
      </c>
      <c r="V10" s="47"/>
    </row>
    <row r="11" spans="2:22" ht="15.75" thickTop="1">
      <c r="B11" s="196">
        <f aca="true" t="shared" si="0" ref="B11:B19">B9+1</f>
        <v>3</v>
      </c>
      <c r="C11" s="35"/>
      <c r="D11" s="21">
        <f>IF(ISBLANK(E11),"",E9)</f>
      </c>
      <c r="E11" s="38"/>
      <c r="F11" s="39"/>
      <c r="G11" s="40"/>
      <c r="H11" s="42">
        <f>ROUNDUP((F11/$M$2+G11/$M$3)*60,0)</f>
        <v>0</v>
      </c>
      <c r="I11" s="41"/>
      <c r="J11" s="64"/>
      <c r="K11" s="64"/>
      <c r="L11" s="64"/>
      <c r="M11" s="64">
        <f>IF(H11=0,"",M9-I11-J11/2+K11+L11/2)</f>
      </c>
      <c r="N11" s="30">
        <f>IF(H11=0,0,IF(ISBLANK($P$2),$P$3,I11*$P$2))</f>
        <v>0</v>
      </c>
      <c r="O11" s="224"/>
      <c r="P11" s="151"/>
      <c r="Q11" s="111"/>
      <c r="R11" s="106"/>
      <c r="S11" s="114"/>
      <c r="T11" s="51">
        <f>IF(H11=0,0,U9+(N9+Q10+S10*60)/60/24-IF(S10&gt;0,N9/60/24,0))</f>
        <v>0</v>
      </c>
      <c r="U11" s="50">
        <f>T11+(H11+P11+R11*60)/60/24</f>
        <v>0</v>
      </c>
      <c r="V11" s="49">
        <f>IF(H11=0,0,IF(OR(R9&gt;0,S10&gt;0),H11,H11+V9))</f>
        <v>0</v>
      </c>
    </row>
    <row r="12" spans="2:22" ht="15.75" thickBot="1">
      <c r="B12" s="196"/>
      <c r="C12" s="26"/>
      <c r="D12" s="23"/>
      <c r="E12" s="22">
        <f>IF(OR(E10="",E10="Tourende"),"",IF(ISBLANK(E13),"Tourende","Lade-/Lenk-/Ruhezeitunterbrechg."))</f>
      </c>
      <c r="F12" s="13"/>
      <c r="G12" s="14"/>
      <c r="H12" s="43"/>
      <c r="I12" s="28"/>
      <c r="J12" s="65"/>
      <c r="K12" s="65"/>
      <c r="L12" s="65"/>
      <c r="M12" s="65"/>
      <c r="N12" s="31"/>
      <c r="O12" s="225"/>
      <c r="P12" s="112"/>
      <c r="Q12" s="103"/>
      <c r="R12" s="113"/>
      <c r="S12" s="104"/>
      <c r="T12" s="118">
        <f>T11</f>
        <v>0</v>
      </c>
      <c r="U12" s="117">
        <f>U11</f>
        <v>0</v>
      </c>
      <c r="V12" s="47"/>
    </row>
    <row r="13" spans="2:22" ht="15.75" thickTop="1">
      <c r="B13" s="195">
        <f t="shared" si="0"/>
        <v>4</v>
      </c>
      <c r="C13" s="35"/>
      <c r="D13" s="21">
        <f>IF(ISBLANK(E13),"",E11)</f>
      </c>
      <c r="E13" s="38"/>
      <c r="F13" s="39"/>
      <c r="G13" s="40"/>
      <c r="H13" s="42">
        <f>ROUNDUP((F13/$M$2+G13/$M$3)*60,0)</f>
        <v>0</v>
      </c>
      <c r="I13" s="41"/>
      <c r="J13" s="64"/>
      <c r="K13" s="64"/>
      <c r="L13" s="64"/>
      <c r="M13" s="64">
        <f>IF(H13=0,"",M11-I13-J13/2+K13+L13/2)</f>
      </c>
      <c r="N13" s="30">
        <f>IF(H13=0,0,IF(ISBLANK($P$2),$P$3,I13*$P$2))</f>
        <v>0</v>
      </c>
      <c r="O13" s="228"/>
      <c r="P13" s="151"/>
      <c r="Q13" s="111"/>
      <c r="R13" s="106"/>
      <c r="S13" s="114"/>
      <c r="T13" s="51">
        <f>IF(H13=0,0,U11+(N11+Q12+S12*60)/60/24-IF(S12&gt;0,N11/60/24,0))</f>
        <v>0</v>
      </c>
      <c r="U13" s="50">
        <f>T13+(H13+P13+R13*60)/60/24</f>
        <v>0</v>
      </c>
      <c r="V13" s="49">
        <f>IF(H13=0,0,IF(OR(R11&gt;0,S12&gt;0),H13,H13+V11))</f>
        <v>0</v>
      </c>
    </row>
    <row r="14" spans="2:22" ht="15.75" thickBot="1">
      <c r="B14" s="196"/>
      <c r="C14" s="26"/>
      <c r="D14" s="23"/>
      <c r="E14" s="22">
        <f>IF(OR(E12="",E12="Tourende"),"",IF(ISBLANK(E15),"Tourende","Lade-/Lenk-/Ruhezeitunterbrechg."))</f>
      </c>
      <c r="F14" s="13"/>
      <c r="G14" s="14"/>
      <c r="H14" s="43"/>
      <c r="I14" s="28"/>
      <c r="J14" s="65"/>
      <c r="K14" s="65"/>
      <c r="L14" s="65"/>
      <c r="M14" s="65"/>
      <c r="N14" s="31"/>
      <c r="O14" s="220"/>
      <c r="P14" s="112"/>
      <c r="Q14" s="103"/>
      <c r="R14" s="113"/>
      <c r="S14" s="104"/>
      <c r="T14" s="118">
        <f>T13</f>
        <v>0</v>
      </c>
      <c r="U14" s="117">
        <f>U13</f>
        <v>0</v>
      </c>
      <c r="V14" s="47"/>
    </row>
    <row r="15" spans="2:22" ht="15.75" thickTop="1">
      <c r="B15" s="196">
        <f t="shared" si="0"/>
        <v>5</v>
      </c>
      <c r="C15" s="35"/>
      <c r="D15" s="21">
        <f>IF(ISBLANK(E15),"",E13)</f>
      </c>
      <c r="E15" s="38"/>
      <c r="F15" s="39"/>
      <c r="G15" s="40"/>
      <c r="H15" s="42">
        <f>ROUNDUP((F15/$M$2+G15/$M$3)*60,0)</f>
        <v>0</v>
      </c>
      <c r="I15" s="41"/>
      <c r="J15" s="64"/>
      <c r="K15" s="64"/>
      <c r="L15" s="64"/>
      <c r="M15" s="64">
        <f>IF(H15=0,"",M13-I15-J15/2+K15+L15/2)</f>
      </c>
      <c r="N15" s="30">
        <f>IF(H15=0,0,IF(ISBLANK($P$2),$P$3,I15*$P$2))</f>
        <v>0</v>
      </c>
      <c r="O15" s="219"/>
      <c r="P15" s="102"/>
      <c r="Q15" s="111"/>
      <c r="R15" s="106"/>
      <c r="S15" s="114"/>
      <c r="T15" s="51">
        <f>IF(H15=0,0,U13+(N13+Q14+S14*60)/60/24-IF(S14&gt;0,N13/60/24,0))</f>
        <v>0</v>
      </c>
      <c r="U15" s="50">
        <f>T15+(H15+P15+R15*60)/60/24</f>
        <v>0</v>
      </c>
      <c r="V15" s="49">
        <f>IF(H15=0,0,IF(OR(R13&gt;0,S14&gt;0),H15,H15+V13))</f>
        <v>0</v>
      </c>
    </row>
    <row r="16" spans="2:22" ht="15.75" thickBot="1">
      <c r="B16" s="196"/>
      <c r="C16" s="26"/>
      <c r="D16" s="23"/>
      <c r="E16" s="22">
        <f>IF(OR(E14="",E14="Tourende"),"",IF(ISBLANK(E17),"Tourende","Lade-/Lenk-/Ruhezeitunterbrechg."))</f>
      </c>
      <c r="F16" s="13"/>
      <c r="G16" s="14"/>
      <c r="H16" s="43"/>
      <c r="I16" s="28"/>
      <c r="J16" s="65"/>
      <c r="K16" s="65"/>
      <c r="L16" s="65"/>
      <c r="M16" s="65"/>
      <c r="N16" s="31"/>
      <c r="O16" s="220"/>
      <c r="P16" s="112"/>
      <c r="Q16" s="103"/>
      <c r="R16" s="113"/>
      <c r="S16" s="104"/>
      <c r="T16" s="118">
        <f>T15</f>
        <v>0</v>
      </c>
      <c r="U16" s="117">
        <f>U15</f>
        <v>0</v>
      </c>
      <c r="V16" s="47"/>
    </row>
    <row r="17" spans="2:22" ht="15.75" thickTop="1">
      <c r="B17" s="196">
        <f t="shared" si="0"/>
        <v>6</v>
      </c>
      <c r="C17" s="35"/>
      <c r="D17" s="21">
        <f>IF(ISBLANK(E17),"",E15)</f>
      </c>
      <c r="E17" s="38"/>
      <c r="F17" s="39"/>
      <c r="G17" s="40"/>
      <c r="H17" s="42">
        <f>ROUNDUP((F17/$M$2+G17/$M$3)*60,0)</f>
        <v>0</v>
      </c>
      <c r="I17" s="41"/>
      <c r="J17" s="64"/>
      <c r="K17" s="64"/>
      <c r="L17" s="64"/>
      <c r="M17" s="64">
        <f>IF(H17=0,"",M15-I17-J17/2+K17+L17/2)</f>
      </c>
      <c r="N17" s="30">
        <f>IF(H17=0,0,IF(ISBLANK($P$2),$P$3,I17*$P$2))</f>
        <v>0</v>
      </c>
      <c r="O17" s="219"/>
      <c r="P17" s="102"/>
      <c r="Q17" s="111"/>
      <c r="R17" s="106"/>
      <c r="S17" s="114"/>
      <c r="T17" s="51">
        <f>IF(H17=0,0,U15+(N15+Q16+S16*60)/60/24-IF(S16&gt;0,N15/60/24,0))</f>
        <v>0</v>
      </c>
      <c r="U17" s="50">
        <f>T17+(H17+P17+R17*60)/60/24</f>
        <v>0</v>
      </c>
      <c r="V17" s="49">
        <f>IF(H17=0,0,IF(OR(R15&gt;0,S16&gt;0),H17,H17+V15))</f>
        <v>0</v>
      </c>
    </row>
    <row r="18" spans="2:22" ht="15.75" thickBot="1">
      <c r="B18" s="196"/>
      <c r="C18" s="26"/>
      <c r="D18" s="23"/>
      <c r="E18" s="22">
        <f>IF(OR(E16="",E16="Tourende"),"",IF(ISBLANK(E19),"Tourende","Lade-/Lenk-/Ruhezeitunterbrechg."))</f>
      </c>
      <c r="F18" s="13"/>
      <c r="G18" s="14"/>
      <c r="H18" s="43"/>
      <c r="I18" s="28"/>
      <c r="J18" s="65"/>
      <c r="K18" s="65"/>
      <c r="L18" s="65"/>
      <c r="M18" s="65"/>
      <c r="N18" s="31"/>
      <c r="O18" s="220"/>
      <c r="P18" s="112"/>
      <c r="Q18" s="103"/>
      <c r="R18" s="113"/>
      <c r="S18" s="104"/>
      <c r="T18" s="118">
        <f>T17</f>
        <v>0</v>
      </c>
      <c r="U18" s="117">
        <f>U17</f>
        <v>0</v>
      </c>
      <c r="V18" s="47"/>
    </row>
    <row r="19" spans="2:22" ht="15.75" thickTop="1">
      <c r="B19" s="196">
        <f t="shared" si="0"/>
        <v>7</v>
      </c>
      <c r="C19" s="35"/>
      <c r="D19" s="21">
        <f>IF(ISBLANK(E19),"",E17)</f>
      </c>
      <c r="E19" s="38"/>
      <c r="F19" s="39"/>
      <c r="G19" s="40"/>
      <c r="H19" s="42">
        <f>ROUNDUP((F19/$M$2+G19/$M$3)*60,0)</f>
        <v>0</v>
      </c>
      <c r="I19" s="41"/>
      <c r="J19" s="64"/>
      <c r="K19" s="64"/>
      <c r="L19" s="64"/>
      <c r="M19" s="64">
        <f>IF(H19=0,"",M17-I19-J19/2+K19+L19/2)</f>
      </c>
      <c r="N19" s="30">
        <f>IF(H19=0,0,IF(ISBLANK($P$2),$P$3,I19*$P$2))</f>
        <v>0</v>
      </c>
      <c r="O19" s="219"/>
      <c r="P19" s="102"/>
      <c r="Q19" s="111"/>
      <c r="R19" s="106"/>
      <c r="S19" s="114"/>
      <c r="T19" s="51">
        <f>IF(H19=0,0,U17+(N17+Q18+S18*60)/60/24-IF(S18&gt;0,N17/60/24,0))</f>
        <v>0</v>
      </c>
      <c r="U19" s="50">
        <f>T19+(H19+P19+R19*60)/60/24</f>
        <v>0</v>
      </c>
      <c r="V19" s="49">
        <f>IF(H19=0,0,IF(OR(R17&gt;0,S18&gt;0),H19,H19+V17))</f>
        <v>0</v>
      </c>
    </row>
    <row r="20" spans="2:22" ht="15.75" thickBot="1">
      <c r="B20" s="196"/>
      <c r="C20" s="26"/>
      <c r="D20" s="23"/>
      <c r="E20" s="22">
        <f>IF(OR(E18="",E18="Tourende"),"",IF(ISBLANK(E21),"Tourende","Lade-/Lenk-/Ruhezeitunterbrechg."))</f>
      </c>
      <c r="F20" s="13"/>
      <c r="G20" s="14"/>
      <c r="H20" s="43"/>
      <c r="I20" s="28"/>
      <c r="J20" s="65"/>
      <c r="K20" s="65"/>
      <c r="L20" s="65"/>
      <c r="M20" s="65"/>
      <c r="N20" s="31"/>
      <c r="O20" s="220"/>
      <c r="P20" s="112"/>
      <c r="Q20" s="103"/>
      <c r="R20" s="113"/>
      <c r="S20" s="104"/>
      <c r="T20" s="118">
        <f>T19</f>
        <v>0</v>
      </c>
      <c r="U20" s="117">
        <f>U19</f>
        <v>0</v>
      </c>
      <c r="V20" s="47"/>
    </row>
    <row r="21" spans="2:22" ht="15.75" thickTop="1">
      <c r="B21" s="196">
        <f>B19+1</f>
        <v>8</v>
      </c>
      <c r="C21" s="35"/>
      <c r="D21" s="21">
        <f>IF(ISBLANK(E21),"",E19)</f>
      </c>
      <c r="E21" s="38"/>
      <c r="F21" s="39"/>
      <c r="G21" s="40"/>
      <c r="H21" s="42">
        <f>ROUNDUP((F21/$M$2+G21/$M$3)*60,0)</f>
        <v>0</v>
      </c>
      <c r="I21" s="41"/>
      <c r="J21" s="64"/>
      <c r="K21" s="64"/>
      <c r="L21" s="64"/>
      <c r="M21" s="64">
        <f>IF(H21=0,"",M19-I21-J21/2+K21+L21/2)</f>
      </c>
      <c r="N21" s="30">
        <f>IF(H21=0,0,IF(ISBLANK($P$2),$P$3,I21*$P$2))</f>
        <v>0</v>
      </c>
      <c r="O21" s="219"/>
      <c r="P21" s="102"/>
      <c r="Q21" s="111"/>
      <c r="R21" s="106"/>
      <c r="S21" s="114"/>
      <c r="T21" s="51">
        <f>IF(H21=0,0,U19+(N19+Q20+S20*60)/60/24-IF(S20&gt;0,N19/60/24,0))</f>
        <v>0</v>
      </c>
      <c r="U21" s="50">
        <f>T21+(H21+P21+R21*60)/60/24</f>
        <v>0</v>
      </c>
      <c r="V21" s="49">
        <f>IF(H21=0,0,IF(OR(R19&gt;0,S20&gt;0),H21,H21+V19))</f>
        <v>0</v>
      </c>
    </row>
    <row r="22" spans="2:22" ht="15.75" thickBot="1">
      <c r="B22" s="196"/>
      <c r="C22" s="26"/>
      <c r="D22" s="23"/>
      <c r="E22" s="22">
        <f>IF(OR(E20="",E20="Tourende"),"",IF(ISBLANK(E23),"Tourende","Lade-/Lenk-/Ruhezeitunterbrechg."))</f>
      </c>
      <c r="F22" s="13"/>
      <c r="G22" s="14"/>
      <c r="H22" s="43"/>
      <c r="I22" s="28"/>
      <c r="J22" s="65"/>
      <c r="K22" s="65"/>
      <c r="L22" s="65"/>
      <c r="M22" s="65"/>
      <c r="N22" s="31"/>
      <c r="O22" s="220"/>
      <c r="P22" s="112"/>
      <c r="Q22" s="103"/>
      <c r="R22" s="113"/>
      <c r="S22" s="104"/>
      <c r="T22" s="118">
        <f>T21</f>
        <v>0</v>
      </c>
      <c r="U22" s="117">
        <f>U21</f>
        <v>0</v>
      </c>
      <c r="V22" s="47"/>
    </row>
    <row r="23" spans="2:22" ht="15.75" thickTop="1">
      <c r="B23" s="196">
        <f>B21+1</f>
        <v>9</v>
      </c>
      <c r="C23" s="35"/>
      <c r="D23" s="21">
        <f>IF(ISBLANK(E23),"",E21)</f>
      </c>
      <c r="E23" s="38"/>
      <c r="F23" s="39"/>
      <c r="G23" s="40"/>
      <c r="H23" s="42">
        <f>ROUNDUP((F23/$M$2+G23/$M$3)*60,0)</f>
        <v>0</v>
      </c>
      <c r="I23" s="41"/>
      <c r="J23" s="64"/>
      <c r="K23" s="64"/>
      <c r="L23" s="64"/>
      <c r="M23" s="64">
        <f>IF(H23=0,"",M21-I23-J23/2+K23+L23/2)</f>
      </c>
      <c r="N23" s="30">
        <f>IF(H23=0,0,IF(ISBLANK($P$2),$P$3,I23*$P$2))</f>
        <v>0</v>
      </c>
      <c r="O23" s="219"/>
      <c r="P23" s="102"/>
      <c r="Q23" s="111"/>
      <c r="R23" s="106"/>
      <c r="S23" s="114"/>
      <c r="T23" s="51">
        <f>IF(H23=0,0,U21+(N21+Q22+S22*60)/60/24-IF(S22&gt;0,N21/60/24,0))</f>
        <v>0</v>
      </c>
      <c r="U23" s="50">
        <f>T23+(H23+P23+R23*60)/60/24</f>
        <v>0</v>
      </c>
      <c r="V23" s="49">
        <f>IF(H23=0,0,IF(OR(R21&gt;0,S22&gt;0),H23,H23+V21))</f>
        <v>0</v>
      </c>
    </row>
    <row r="24" spans="2:22" ht="15.75" thickBot="1">
      <c r="B24" s="196"/>
      <c r="C24" s="26"/>
      <c r="D24" s="23"/>
      <c r="E24" s="22">
        <f>IF(OR(E22="",E22="Tourende"),"",IF(ISBLANK(E25),"Tourende","Lade-/Lenk-/Ruhezeitunterbrechg."))</f>
      </c>
      <c r="F24" s="13"/>
      <c r="G24" s="14"/>
      <c r="H24" s="43"/>
      <c r="I24" s="28"/>
      <c r="J24" s="65"/>
      <c r="K24" s="65"/>
      <c r="L24" s="65"/>
      <c r="M24" s="65"/>
      <c r="N24" s="31"/>
      <c r="O24" s="220"/>
      <c r="P24" s="112"/>
      <c r="Q24" s="103"/>
      <c r="R24" s="113"/>
      <c r="S24" s="104"/>
      <c r="T24" s="118">
        <f>T23</f>
        <v>0</v>
      </c>
      <c r="U24" s="117">
        <f>U23</f>
        <v>0</v>
      </c>
      <c r="V24" s="47"/>
    </row>
    <row r="25" spans="2:22" ht="15.75" thickTop="1">
      <c r="B25" s="193">
        <f>B23+1</f>
        <v>10</v>
      </c>
      <c r="C25" s="36"/>
      <c r="D25" s="21">
        <f>IF(ISBLANK(E25),"",E23)</f>
      </c>
      <c r="E25" s="38"/>
      <c r="F25" s="39"/>
      <c r="G25" s="40"/>
      <c r="H25" s="42">
        <f>ROUNDUP((F25/$M$2+G25/$M$3)*60,0)</f>
        <v>0</v>
      </c>
      <c r="I25" s="41"/>
      <c r="J25" s="64"/>
      <c r="K25" s="64"/>
      <c r="L25" s="64"/>
      <c r="M25" s="64">
        <f>IF(H25=0,"",M23-I25-J25/2+K25+L25/2)</f>
      </c>
      <c r="N25" s="30">
        <f>IF(H25=0,0,IF(ISBLANK($P$2),$P$3,I25*$P$2))</f>
        <v>0</v>
      </c>
      <c r="O25" s="219"/>
      <c r="P25" s="102"/>
      <c r="Q25" s="111"/>
      <c r="R25" s="106"/>
      <c r="S25" s="114"/>
      <c r="T25" s="51">
        <f>IF(H25=0,0,U23+(N23+Q24+S24*60)/60/24-IF(S24&gt;0,N23/60/24,0))</f>
        <v>0</v>
      </c>
      <c r="U25" s="50">
        <f>T25+(H25+P25+R25*60)/60/24</f>
        <v>0</v>
      </c>
      <c r="V25" s="49">
        <f>IF(H25=0,0,IF(OR(R23&gt;0,S24&gt;0),H25,H25+V23))</f>
        <v>0</v>
      </c>
    </row>
    <row r="26" spans="2:22" ht="15.75" thickBot="1">
      <c r="B26" s="194"/>
      <c r="C26" s="27"/>
      <c r="D26" s="24"/>
      <c r="E26" s="25">
        <f>IF(OR(E24="",E24="Tourende"),"",IF(ISBLANK(E27),"Tourende","Lade-/Lenk-/Ruhezeitunterbrechg."))</f>
      </c>
      <c r="F26" s="15"/>
      <c r="G26" s="16"/>
      <c r="H26" s="44"/>
      <c r="I26" s="29"/>
      <c r="J26" s="66"/>
      <c r="K26" s="66"/>
      <c r="L26" s="66"/>
      <c r="M26" s="66"/>
      <c r="N26" s="32"/>
      <c r="O26" s="245"/>
      <c r="P26" s="115"/>
      <c r="Q26" s="105"/>
      <c r="R26" s="116"/>
      <c r="S26" s="107"/>
      <c r="T26" s="119">
        <f>T25</f>
        <v>0</v>
      </c>
      <c r="U26" s="120">
        <f>U25</f>
        <v>0</v>
      </c>
      <c r="V26" s="52"/>
    </row>
    <row r="27" ht="7.5" customHeight="1"/>
    <row r="28" spans="3:20" ht="15">
      <c r="C28" s="60" t="s">
        <v>9</v>
      </c>
      <c r="D28" s="53"/>
      <c r="E28" s="57">
        <f>SUM(F7:G26)</f>
        <v>0</v>
      </c>
      <c r="F28" s="6"/>
      <c r="I28" s="248" t="s">
        <v>55</v>
      </c>
      <c r="J28" s="248"/>
      <c r="K28" s="249" t="s">
        <v>55</v>
      </c>
      <c r="L28" s="250"/>
      <c r="M28" s="142"/>
      <c r="T28" s="17"/>
    </row>
    <row r="29" spans="3:13" ht="15">
      <c r="C29" s="60" t="s">
        <v>10</v>
      </c>
      <c r="D29" s="54"/>
      <c r="E29" s="57">
        <f>SUM(H7:H26)</f>
        <v>0</v>
      </c>
      <c r="F29" s="6"/>
      <c r="I29" s="243" t="s">
        <v>53</v>
      </c>
      <c r="J29" s="243"/>
      <c r="K29" s="246" t="s">
        <v>54</v>
      </c>
      <c r="L29" s="247"/>
      <c r="M29" s="136"/>
    </row>
    <row r="30" spans="3:12" ht="15">
      <c r="C30" s="61" t="s">
        <v>11</v>
      </c>
      <c r="D30" s="55"/>
      <c r="E30" s="58">
        <f>E29/60/24</f>
        <v>0</v>
      </c>
      <c r="F30" s="33"/>
      <c r="I30" s="244" t="s">
        <v>21</v>
      </c>
      <c r="J30" s="244"/>
      <c r="K30" s="241" t="s">
        <v>21</v>
      </c>
      <c r="L30" s="242"/>
    </row>
    <row r="31" spans="3:13" ht="15">
      <c r="C31" s="60" t="s">
        <v>19</v>
      </c>
      <c r="D31" s="56"/>
      <c r="E31" s="59">
        <f>IF(E29=0,0,E28/E29*60)</f>
        <v>0</v>
      </c>
      <c r="F31" s="6"/>
      <c r="G31" s="18"/>
      <c r="I31" s="74">
        <f>SUM(I7:I26)</f>
        <v>0</v>
      </c>
      <c r="J31" s="74">
        <f>SUM(J7:J26)</f>
        <v>0</v>
      </c>
      <c r="K31" s="74">
        <f>SUM(K7:K26)</f>
        <v>0</v>
      </c>
      <c r="L31" s="74">
        <f>SUM(L7:L26)</f>
        <v>0</v>
      </c>
      <c r="M31" s="142"/>
    </row>
    <row r="32" spans="2:13" ht="15" customHeight="1">
      <c r="B32" s="19"/>
      <c r="C32" s="60" t="s">
        <v>20</v>
      </c>
      <c r="D32" s="56"/>
      <c r="E32" s="62">
        <f>MAX(U7:U26)-T7</f>
        <v>0</v>
      </c>
      <c r="F32" s="19"/>
      <c r="G32" s="18"/>
      <c r="I32" s="145"/>
      <c r="J32" s="145"/>
      <c r="K32" s="137"/>
      <c r="L32" s="137"/>
      <c r="M32" s="137"/>
    </row>
    <row r="33" spans="2:22" s="19" customFormat="1" ht="15" customHeight="1">
      <c r="B33"/>
      <c r="C33" s="20" t="s">
        <v>12</v>
      </c>
      <c r="D33"/>
      <c r="E33"/>
      <c r="F33"/>
      <c r="G33" s="34"/>
      <c r="I33" s="68"/>
      <c r="J33" s="68"/>
      <c r="K33" s="68"/>
      <c r="L33" s="68"/>
      <c r="M33" s="68"/>
      <c r="V33" s="48"/>
    </row>
    <row r="34" spans="3:22" ht="15.75" customHeight="1">
      <c r="C34" s="84" t="s">
        <v>32</v>
      </c>
      <c r="D34" s="85"/>
      <c r="E34" s="86" t="s">
        <v>33</v>
      </c>
      <c r="F34" s="87" t="s">
        <v>34</v>
      </c>
      <c r="G34" s="87" t="s">
        <v>35</v>
      </c>
      <c r="H34" s="235" t="s">
        <v>36</v>
      </c>
      <c r="I34" s="236"/>
      <c r="J34"/>
      <c r="K34" s="166"/>
      <c r="L34" s="166"/>
      <c r="M34" s="166"/>
      <c r="N34" s="166"/>
      <c r="O34" s="166"/>
      <c r="P34" s="166"/>
      <c r="Q34" s="166"/>
      <c r="R34" s="46"/>
      <c r="S34" s="46"/>
      <c r="V34" s="19"/>
    </row>
    <row r="35" spans="3:22" ht="15" customHeight="1">
      <c r="C35" s="88" t="s">
        <v>37</v>
      </c>
      <c r="D35" s="89"/>
      <c r="E35" s="98">
        <v>165</v>
      </c>
      <c r="F35" s="126">
        <f>IF(ISBLANK(E7),0,INT(D3)-INT(D2)+1)</f>
        <v>0</v>
      </c>
      <c r="G35" s="127"/>
      <c r="H35" s="237">
        <f>E35*F35</f>
        <v>0</v>
      </c>
      <c r="I35" s="238"/>
      <c r="J35"/>
      <c r="K35" s="167"/>
      <c r="L35" s="167"/>
      <c r="M35" s="167"/>
      <c r="N35" s="167"/>
      <c r="O35" s="167"/>
      <c r="P35" s="167"/>
      <c r="Q35" s="167"/>
      <c r="R35" s="46"/>
      <c r="S35" s="46"/>
      <c r="V35" s="19"/>
    </row>
    <row r="36" spans="3:22" ht="15" customHeight="1">
      <c r="C36" s="90" t="s">
        <v>38</v>
      </c>
      <c r="D36" s="91"/>
      <c r="E36" s="99">
        <v>65</v>
      </c>
      <c r="F36" s="128">
        <f>F35</f>
        <v>0</v>
      </c>
      <c r="G36" s="127"/>
      <c r="H36" s="237">
        <f>E36*F36</f>
        <v>0</v>
      </c>
      <c r="I36" s="238"/>
      <c r="J36"/>
      <c r="K36" s="168"/>
      <c r="L36" s="168"/>
      <c r="M36" s="168"/>
      <c r="N36" s="168"/>
      <c r="O36" s="168"/>
      <c r="P36" s="168"/>
      <c r="Q36" s="168"/>
      <c r="R36" s="46"/>
      <c r="S36" s="46"/>
      <c r="V36" s="19"/>
    </row>
    <row r="37" spans="3:22" ht="15" customHeight="1">
      <c r="C37" s="90" t="s">
        <v>39</v>
      </c>
      <c r="D37" s="91"/>
      <c r="E37" s="100">
        <v>0.92</v>
      </c>
      <c r="F37" s="129"/>
      <c r="G37" s="127">
        <f>E28</f>
        <v>0</v>
      </c>
      <c r="H37" s="237">
        <f>E37*G37</f>
        <v>0</v>
      </c>
      <c r="I37" s="238"/>
      <c r="J37"/>
      <c r="K37" s="166"/>
      <c r="L37" s="166"/>
      <c r="M37" s="166"/>
      <c r="N37" s="166"/>
      <c r="O37" s="166"/>
      <c r="P37" s="166"/>
      <c r="Q37" s="166"/>
      <c r="R37" s="46"/>
      <c r="S37" s="46"/>
      <c r="V37" s="19"/>
    </row>
    <row r="38" spans="3:22" ht="15" customHeight="1">
      <c r="C38" s="121" t="s">
        <v>44</v>
      </c>
      <c r="D38" s="122"/>
      <c r="E38" s="123">
        <v>0.183</v>
      </c>
      <c r="F38" s="129"/>
      <c r="G38" s="127">
        <f>E28</f>
        <v>0</v>
      </c>
      <c r="H38" s="233"/>
      <c r="I38" s="233"/>
      <c r="J38"/>
      <c r="K38" s="167"/>
      <c r="L38" s="167"/>
      <c r="M38" s="167"/>
      <c r="N38" s="167"/>
      <c r="O38" s="167"/>
      <c r="P38" s="167"/>
      <c r="Q38" s="167"/>
      <c r="R38" s="165"/>
      <c r="S38" s="165"/>
      <c r="V38" s="19"/>
    </row>
    <row r="39" spans="3:22" ht="15.75" customHeight="1" thickBot="1">
      <c r="C39" s="124" t="s">
        <v>46</v>
      </c>
      <c r="D39" s="125"/>
      <c r="E39" s="134">
        <v>95</v>
      </c>
      <c r="F39" s="130"/>
      <c r="G39" s="131">
        <f>ROUND(G38*E39/100,0)</f>
        <v>0</v>
      </c>
      <c r="H39" s="234">
        <f>G39*E38</f>
        <v>0</v>
      </c>
      <c r="I39" s="234"/>
      <c r="J39"/>
      <c r="K39" s="169"/>
      <c r="L39" s="169"/>
      <c r="M39" s="169"/>
      <c r="N39" s="169"/>
      <c r="O39" s="169"/>
      <c r="P39" s="169"/>
      <c r="Q39" s="169"/>
      <c r="R39" s="165"/>
      <c r="S39" s="165"/>
      <c r="V39" s="19"/>
    </row>
    <row r="40" spans="3:22" ht="15.75" thickTop="1">
      <c r="C40" s="95" t="s">
        <v>40</v>
      </c>
      <c r="D40" s="96"/>
      <c r="E40" s="135"/>
      <c r="F40" s="132"/>
      <c r="G40" s="133"/>
      <c r="H40" s="251">
        <f>SUM(H35:H39)</f>
        <v>0</v>
      </c>
      <c r="I40" s="252"/>
      <c r="J40"/>
      <c r="K40" s="166"/>
      <c r="L40" s="166"/>
      <c r="M40" s="166"/>
      <c r="N40" s="166"/>
      <c r="O40" s="166"/>
      <c r="P40" s="166"/>
      <c r="Q40" s="166"/>
      <c r="R40" s="46"/>
      <c r="S40" s="46"/>
      <c r="V40" s="19"/>
    </row>
    <row r="41" spans="3:22" ht="15">
      <c r="C41" s="90" t="s">
        <v>45</v>
      </c>
      <c r="D41" s="91"/>
      <c r="E41" s="170">
        <f>10/3</f>
        <v>3.3333333333333335</v>
      </c>
      <c r="F41" s="129"/>
      <c r="G41" s="127"/>
      <c r="H41" s="237">
        <f>ROUND((H40*E41)/100,2)</f>
        <v>0</v>
      </c>
      <c r="I41" s="238"/>
      <c r="J41"/>
      <c r="K41"/>
      <c r="L41"/>
      <c r="M41"/>
      <c r="R41" s="46"/>
      <c r="S41" s="46"/>
      <c r="V41" s="19"/>
    </row>
    <row r="42" spans="3:22" ht="15">
      <c r="C42" s="92" t="s">
        <v>41</v>
      </c>
      <c r="D42" s="93"/>
      <c r="E42" s="101"/>
      <c r="F42" s="94"/>
      <c r="G42" s="97"/>
      <c r="H42" s="229">
        <f>H40+H41</f>
        <v>0</v>
      </c>
      <c r="I42" s="230"/>
      <c r="J42"/>
      <c r="K42"/>
      <c r="L42"/>
      <c r="M42"/>
      <c r="R42" s="46"/>
      <c r="S42" s="46"/>
      <c r="V42" s="19"/>
    </row>
  </sheetData>
  <sheetProtection sheet="1" objects="1" scenarios="1" selectLockedCells="1"/>
  <mergeCells count="55">
    <mergeCell ref="B1:C1"/>
    <mergeCell ref="B2:C2"/>
    <mergeCell ref="M2:N2"/>
    <mergeCell ref="W2:Y2"/>
    <mergeCell ref="B3:C3"/>
    <mergeCell ref="G3:H3"/>
    <mergeCell ref="M3:N3"/>
    <mergeCell ref="B7:B8"/>
    <mergeCell ref="O7:O8"/>
    <mergeCell ref="B5:B6"/>
    <mergeCell ref="C5:C6"/>
    <mergeCell ref="D5:E6"/>
    <mergeCell ref="I5:J5"/>
    <mergeCell ref="K5:L5"/>
    <mergeCell ref="O5:O6"/>
    <mergeCell ref="P5:Q5"/>
    <mergeCell ref="R5:S5"/>
    <mergeCell ref="T5:T6"/>
    <mergeCell ref="U5:U6"/>
    <mergeCell ref="V5:V6"/>
    <mergeCell ref="B9:B10"/>
    <mergeCell ref="O9:O10"/>
    <mergeCell ref="B11:B12"/>
    <mergeCell ref="O11:O12"/>
    <mergeCell ref="B13:B14"/>
    <mergeCell ref="O13:O14"/>
    <mergeCell ref="B15:B16"/>
    <mergeCell ref="O15:O16"/>
    <mergeCell ref="B17:B18"/>
    <mergeCell ref="O17:O18"/>
    <mergeCell ref="B19:B20"/>
    <mergeCell ref="O19:O20"/>
    <mergeCell ref="K30:L30"/>
    <mergeCell ref="B21:B22"/>
    <mergeCell ref="O21:O22"/>
    <mergeCell ref="B23:B24"/>
    <mergeCell ref="O23:O24"/>
    <mergeCell ref="B25:B26"/>
    <mergeCell ref="O25:O26"/>
    <mergeCell ref="H40:I40"/>
    <mergeCell ref="H41:I41"/>
    <mergeCell ref="H42:I42"/>
    <mergeCell ref="P2:Q2"/>
    <mergeCell ref="P3:Q3"/>
    <mergeCell ref="H34:I34"/>
    <mergeCell ref="H35:I35"/>
    <mergeCell ref="H36:I36"/>
    <mergeCell ref="H37:I37"/>
    <mergeCell ref="H38:I38"/>
    <mergeCell ref="H39:I39"/>
    <mergeCell ref="I28:J28"/>
    <mergeCell ref="K28:L28"/>
    <mergeCell ref="I29:J29"/>
    <mergeCell ref="K29:L29"/>
    <mergeCell ref="I30:J30"/>
  </mergeCells>
  <conditionalFormatting sqref="U7">
    <cfRule type="expression" priority="20" dxfId="40">
      <formula>AND(U9=0,H7&gt;0)</formula>
    </cfRule>
  </conditionalFormatting>
  <conditionalFormatting sqref="U9">
    <cfRule type="expression" priority="19" dxfId="40">
      <formula>AND(U11=0,H9&gt;0)</formula>
    </cfRule>
  </conditionalFormatting>
  <conditionalFormatting sqref="U11">
    <cfRule type="expression" priority="18" dxfId="40">
      <formula>AND(U13=0,H11&gt;0)</formula>
    </cfRule>
  </conditionalFormatting>
  <conditionalFormatting sqref="U13">
    <cfRule type="expression" priority="17" dxfId="40">
      <formula>AND(U15=0,H13&gt;0)</formula>
    </cfRule>
  </conditionalFormatting>
  <conditionalFormatting sqref="U15">
    <cfRule type="expression" priority="16" dxfId="40">
      <formula>AND(U17=0,H15&gt;0)</formula>
    </cfRule>
  </conditionalFormatting>
  <conditionalFormatting sqref="U17">
    <cfRule type="expression" priority="15" dxfId="40">
      <formula>AND(U19=0,H17&gt;0)</formula>
    </cfRule>
  </conditionalFormatting>
  <conditionalFormatting sqref="U19">
    <cfRule type="expression" priority="14" dxfId="40">
      <formula>AND(U21=0,H19&gt;0)</formula>
    </cfRule>
  </conditionalFormatting>
  <conditionalFormatting sqref="U21">
    <cfRule type="expression" priority="13" dxfId="40">
      <formula>AND(U23=0,H21&gt;0)</formula>
    </cfRule>
  </conditionalFormatting>
  <conditionalFormatting sqref="U23">
    <cfRule type="expression" priority="12" dxfId="40">
      <formula>AND(U25=0,H23&gt;0)</formula>
    </cfRule>
  </conditionalFormatting>
  <conditionalFormatting sqref="U25">
    <cfRule type="expression" priority="11" dxfId="40">
      <formula>AND(U27=0,H25&gt;0)</formula>
    </cfRule>
  </conditionalFormatting>
  <conditionalFormatting sqref="M19">
    <cfRule type="expression" priority="10" dxfId="40">
      <formula>AND(M19&gt;$G$2,M19&lt;&gt;"")</formula>
    </cfRule>
  </conditionalFormatting>
  <conditionalFormatting sqref="M7">
    <cfRule type="expression" priority="9" dxfId="40">
      <formula>AND(M7&gt;$G$2,M7&lt;&gt;"")</formula>
    </cfRule>
  </conditionalFormatting>
  <conditionalFormatting sqref="M9">
    <cfRule type="expression" priority="8" dxfId="40">
      <formula>AND(M9&gt;$G$2,M9&lt;&gt;"")</formula>
    </cfRule>
  </conditionalFormatting>
  <conditionalFormatting sqref="M11">
    <cfRule type="expression" priority="7" dxfId="40">
      <formula>AND(M11&gt;$G$2,M11&lt;&gt;"")</formula>
    </cfRule>
  </conditionalFormatting>
  <conditionalFormatting sqref="M13">
    <cfRule type="expression" priority="6" dxfId="40">
      <formula>AND(M13&gt;$G$2,M13&lt;&gt;"")</formula>
    </cfRule>
  </conditionalFormatting>
  <conditionalFormatting sqref="M15">
    <cfRule type="expression" priority="5" dxfId="40">
      <formula>AND(M15&gt;$G$2,M15&lt;&gt;"")</formula>
    </cfRule>
  </conditionalFormatting>
  <conditionalFormatting sqref="M17">
    <cfRule type="expression" priority="4" dxfId="40">
      <formula>AND(M17&gt;$G$2,M17&lt;&gt;"")</formula>
    </cfRule>
  </conditionalFormatting>
  <conditionalFormatting sqref="M21">
    <cfRule type="expression" priority="3" dxfId="40">
      <formula>AND(M21&gt;$G$2,M21&lt;&gt;"")</formula>
    </cfRule>
  </conditionalFormatting>
  <conditionalFormatting sqref="M23">
    <cfRule type="expression" priority="2" dxfId="40">
      <formula>AND(M23&gt;$G$2,M23&lt;&gt;"")</formula>
    </cfRule>
  </conditionalFormatting>
  <conditionalFormatting sqref="M25">
    <cfRule type="expression" priority="1" dxfId="40">
      <formula>AND(M25&gt;$G$2,M25&lt;&gt;"")</formula>
    </cfRule>
  </conditionalFormatting>
  <hyperlinks>
    <hyperlink ref="W2" r:id="rId1" display="https://www.viamichelin.de/"/>
  </hyperlinks>
  <printOptions horizontalCentered="1"/>
  <pageMargins left="0.5905511811023623" right="0.5905511811023623" top="0.984251968503937" bottom="0.5905511811023623" header="0.7086614173228347" footer="0.31496062992125984"/>
  <pageSetup fitToHeight="1" fitToWidth="1" horizontalDpi="600" verticalDpi="600" orientation="landscape" paperSize="9" scale="71" r:id="rId3"/>
  <headerFooter>
    <oddHeader>&amp;L&amp;"-,Fett"&amp;12EDV-Unterstützung für eine Tourenplanung</oddHeader>
    <oddFooter>&amp;L&amp;"-,Kursiv"&amp;9Dozent:  Uwe Wegewitz  &amp;"-,Fett"+&amp;"-,Kursiv"  www.wegewitz-web.de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Wegewitz</dc:creator>
  <cp:keywords/>
  <dc:description/>
  <cp:lastModifiedBy>Wegewitz</cp:lastModifiedBy>
  <cp:lastPrinted>2019-01-22T10:48:31Z</cp:lastPrinted>
  <dcterms:created xsi:type="dcterms:W3CDTF">2017-09-10T17:18:10Z</dcterms:created>
  <dcterms:modified xsi:type="dcterms:W3CDTF">2019-01-22T10:50:18Z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